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nio\Desktop\Hess Submission\hess-2015-528-supplement-version1\"/>
    </mc:Choice>
  </mc:AlternateContent>
  <bookViews>
    <workbookView minimized="1" xWindow="0" yWindow="0" windowWidth="19200" windowHeight="7116" firstSheet="1" activeTab="2"/>
  </bookViews>
  <sheets>
    <sheet name="DR1 Table 1A) Site1a" sheetId="1" r:id="rId1"/>
    <sheet name="DR Table 1B) Site 2a" sheetId="2" r:id="rId2"/>
    <sheet name="DR Table 2) Dripwater_isotopes" sheetId="5" r:id="rId3"/>
    <sheet name="Drip_calc_s1a" sheetId="6" r:id="rId4"/>
    <sheet name="Drip_calc_site2a" sheetId="7" r:id="rId5"/>
    <sheet name="DR Table 3) Soil_Depth" sheetId="3" r:id="rId6"/>
    <sheet name="Awap_balance" sheetId="8" r:id="rId7"/>
  </sheets>
  <externalReferences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8" l="1"/>
  <c r="D45" i="8"/>
  <c r="L27" i="6" l="1"/>
  <c r="G42" i="7"/>
  <c r="G24" i="7"/>
  <c r="U27" i="1" l="1"/>
  <c r="E37" i="5"/>
  <c r="C31" i="5"/>
  <c r="E36" i="5"/>
  <c r="C30" i="5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H3" i="8" s="1"/>
  <c r="H4" i="8" s="1"/>
  <c r="D2" i="8"/>
  <c r="H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G2" i="8"/>
  <c r="G6" i="6"/>
  <c r="G23" i="6"/>
  <c r="G21" i="6"/>
  <c r="G28" i="6" s="1"/>
  <c r="G30" i="6" s="1"/>
  <c r="G49" i="7"/>
  <c r="H49" i="7" s="1"/>
  <c r="G48" i="7"/>
  <c r="H48" i="7" s="1"/>
  <c r="G47" i="7"/>
  <c r="H47" i="7" s="1"/>
  <c r="G46" i="7"/>
  <c r="H46" i="7" s="1"/>
  <c r="G45" i="7"/>
  <c r="H45" i="7" s="1"/>
  <c r="G44" i="7"/>
  <c r="H44" i="7" s="1"/>
  <c r="G43" i="7"/>
  <c r="H43" i="7" s="1"/>
  <c r="H42" i="7"/>
  <c r="G41" i="7"/>
  <c r="H41" i="7" s="1"/>
  <c r="G40" i="7"/>
  <c r="H40" i="7"/>
  <c r="G39" i="7"/>
  <c r="H39" i="7" s="1"/>
  <c r="K2" i="7" s="1"/>
  <c r="L2" i="7" s="1"/>
  <c r="G36" i="7"/>
  <c r="G35" i="7"/>
  <c r="G34" i="7"/>
  <c r="G33" i="7"/>
  <c r="G32" i="7"/>
  <c r="G31" i="7"/>
  <c r="G30" i="7"/>
  <c r="G29" i="7"/>
  <c r="G28" i="7"/>
  <c r="G27" i="7"/>
  <c r="G26" i="7"/>
  <c r="G25" i="7"/>
  <c r="G23" i="7"/>
  <c r="G22" i="7"/>
  <c r="G21" i="7"/>
  <c r="G20" i="7"/>
  <c r="D20" i="7"/>
  <c r="E20" i="7"/>
  <c r="F20" i="7" s="1"/>
  <c r="D18" i="7"/>
  <c r="E18" i="7"/>
  <c r="F18" i="7"/>
  <c r="G17" i="7"/>
  <c r="D17" i="7"/>
  <c r="E17" i="7"/>
  <c r="F17" i="7"/>
  <c r="G16" i="7"/>
  <c r="D16" i="7"/>
  <c r="E16" i="7"/>
  <c r="F16" i="7"/>
  <c r="D15" i="7"/>
  <c r="E15" i="7"/>
  <c r="F15" i="7"/>
  <c r="G14" i="7"/>
  <c r="D14" i="7"/>
  <c r="E14" i="7"/>
  <c r="F14" i="7" s="1"/>
  <c r="D13" i="7"/>
  <c r="E13" i="7" s="1"/>
  <c r="F13" i="7" s="1"/>
  <c r="D12" i="7"/>
  <c r="E12" i="7"/>
  <c r="F12" i="7" s="1"/>
  <c r="G10" i="7"/>
  <c r="G9" i="7"/>
  <c r="G8" i="7"/>
  <c r="G7" i="7"/>
  <c r="G6" i="7"/>
  <c r="G5" i="7"/>
  <c r="G4" i="7"/>
  <c r="G3" i="7"/>
  <c r="G2" i="7"/>
  <c r="G24" i="6"/>
  <c r="G22" i="6"/>
  <c r="D19" i="6"/>
  <c r="E19" i="6"/>
  <c r="F19" i="6" s="1"/>
  <c r="D18" i="6"/>
  <c r="E18" i="6" s="1"/>
  <c r="F18" i="6" s="1"/>
  <c r="D17" i="6"/>
  <c r="E17" i="6"/>
  <c r="F17" i="6" s="1"/>
  <c r="D16" i="6"/>
  <c r="E16" i="6"/>
  <c r="F16" i="6"/>
  <c r="D15" i="6"/>
  <c r="E15" i="6" s="1"/>
  <c r="F15" i="6" s="1"/>
  <c r="D14" i="6"/>
  <c r="E14" i="6" s="1"/>
  <c r="F14" i="6" s="1"/>
  <c r="D13" i="6"/>
  <c r="E13" i="6"/>
  <c r="F13" i="6" s="1"/>
  <c r="G12" i="6"/>
  <c r="D12" i="6"/>
  <c r="E12" i="6"/>
  <c r="F12" i="6" s="1"/>
  <c r="G11" i="6"/>
  <c r="D11" i="6"/>
  <c r="E11" i="6"/>
  <c r="F11" i="6" s="1"/>
  <c r="G10" i="6"/>
  <c r="D10" i="6"/>
  <c r="E10" i="6"/>
  <c r="F10" i="6" s="1"/>
  <c r="G9" i="6"/>
  <c r="D9" i="6"/>
  <c r="E9" i="6" s="1"/>
  <c r="F9" i="6" s="1"/>
  <c r="G8" i="6"/>
  <c r="D8" i="6"/>
  <c r="E8" i="6"/>
  <c r="F8" i="6"/>
  <c r="G7" i="6"/>
  <c r="D7" i="6"/>
  <c r="E7" i="6"/>
  <c r="F7" i="6"/>
  <c r="D6" i="6"/>
  <c r="E6" i="6" s="1"/>
  <c r="F6" i="6" s="1"/>
  <c r="G5" i="6"/>
  <c r="D5" i="6"/>
  <c r="E5" i="6"/>
  <c r="F5" i="6" s="1"/>
  <c r="G4" i="6"/>
  <c r="D4" i="6"/>
  <c r="E4" i="6"/>
  <c r="F4" i="6" s="1"/>
  <c r="Y28" i="1"/>
  <c r="X28" i="1"/>
  <c r="W28" i="1"/>
  <c r="V28" i="1"/>
  <c r="T28" i="1"/>
  <c r="S28" i="1"/>
  <c r="Y27" i="1"/>
  <c r="T27" i="1"/>
  <c r="AA27" i="1"/>
  <c r="V27" i="1"/>
  <c r="Z27" i="1"/>
  <c r="AF27" i="1"/>
  <c r="X27" i="1"/>
  <c r="W27" i="1"/>
  <c r="S27" i="1"/>
  <c r="Y26" i="1"/>
  <c r="AA26" i="1" s="1"/>
  <c r="T26" i="1"/>
  <c r="V26" i="1"/>
  <c r="Z26" i="1" s="1"/>
  <c r="AE26" i="1"/>
  <c r="AD26" i="1"/>
  <c r="AC26" i="1"/>
  <c r="X26" i="1"/>
  <c r="W26" i="1"/>
  <c r="U26" i="1"/>
  <c r="S26" i="1"/>
  <c r="AE25" i="1"/>
  <c r="AD25" i="1"/>
  <c r="AC25" i="1"/>
  <c r="Y25" i="1"/>
  <c r="X25" i="1"/>
  <c r="W25" i="1"/>
  <c r="V25" i="1"/>
  <c r="U25" i="1"/>
  <c r="T25" i="1"/>
  <c r="S25" i="1"/>
  <c r="Y24" i="1"/>
  <c r="AA24" i="1" s="1"/>
  <c r="AB24" i="1" s="1"/>
  <c r="T24" i="1"/>
  <c r="V24" i="1"/>
  <c r="Z24" i="1" s="1"/>
  <c r="AF24" i="1" s="1"/>
  <c r="AE24" i="1"/>
  <c r="AD24" i="1"/>
  <c r="AC24" i="1"/>
  <c r="X24" i="1"/>
  <c r="W24" i="1"/>
  <c r="U24" i="1"/>
  <c r="S24" i="1"/>
  <c r="Y23" i="1"/>
  <c r="T23" i="1"/>
  <c r="AA23" i="1" s="1"/>
  <c r="V23" i="1"/>
  <c r="AE23" i="1"/>
  <c r="AD23" i="1"/>
  <c r="AC23" i="1"/>
  <c r="X23" i="1"/>
  <c r="W23" i="1"/>
  <c r="U23" i="1"/>
  <c r="S23" i="1"/>
  <c r="Y22" i="1"/>
  <c r="T22" i="1"/>
  <c r="AA22" i="1"/>
  <c r="V22" i="1"/>
  <c r="Z22" i="1"/>
  <c r="AF22" i="1"/>
  <c r="AC22" i="1"/>
  <c r="X22" i="1"/>
  <c r="W22" i="1"/>
  <c r="U22" i="1"/>
  <c r="S22" i="1"/>
  <c r="Y21" i="1"/>
  <c r="T21" i="1"/>
  <c r="AA21" i="1" s="1"/>
  <c r="V21" i="1"/>
  <c r="Z21" i="1"/>
  <c r="AF21" i="1" s="1"/>
  <c r="AE21" i="1"/>
  <c r="AD21" i="1"/>
  <c r="AC21" i="1"/>
  <c r="X21" i="1"/>
  <c r="W21" i="1"/>
  <c r="U21" i="1"/>
  <c r="S21" i="1"/>
  <c r="Y20" i="1"/>
  <c r="T20" i="1"/>
  <c r="AA20" i="1"/>
  <c r="AG20" i="1" s="1"/>
  <c r="V20" i="1"/>
  <c r="Z20" i="1" s="1"/>
  <c r="AF20" i="1"/>
  <c r="AE20" i="1"/>
  <c r="AD20" i="1"/>
  <c r="AC20" i="1"/>
  <c r="AB20" i="1"/>
  <c r="X20" i="1"/>
  <c r="W20" i="1"/>
  <c r="U20" i="1"/>
  <c r="S20" i="1"/>
  <c r="Y19" i="1"/>
  <c r="AA19" i="1" s="1"/>
  <c r="T19" i="1"/>
  <c r="AG19" i="1"/>
  <c r="V19" i="1"/>
  <c r="Z19" i="1" s="1"/>
  <c r="AF19" i="1" s="1"/>
  <c r="AE19" i="1"/>
  <c r="AD19" i="1"/>
  <c r="AC19" i="1"/>
  <c r="X19" i="1"/>
  <c r="W19" i="1"/>
  <c r="U19" i="1"/>
  <c r="S19" i="1"/>
  <c r="Y18" i="1"/>
  <c r="AA18" i="1" s="1"/>
  <c r="AG18" i="1" s="1"/>
  <c r="T18" i="1"/>
  <c r="V18" i="1"/>
  <c r="Z18" i="1" s="1"/>
  <c r="AF18" i="1" s="1"/>
  <c r="AC18" i="1"/>
  <c r="X18" i="1"/>
  <c r="W18" i="1"/>
  <c r="U18" i="1"/>
  <c r="S18" i="1"/>
  <c r="Y17" i="1"/>
  <c r="AA17" i="1" s="1"/>
  <c r="T17" i="1"/>
  <c r="AG17" i="1"/>
  <c r="V17" i="1"/>
  <c r="Z17" i="1" s="1"/>
  <c r="AF17" i="1" s="1"/>
  <c r="AE17" i="1"/>
  <c r="AD17" i="1"/>
  <c r="AC17" i="1"/>
  <c r="X17" i="1"/>
  <c r="W17" i="1"/>
  <c r="U17" i="1"/>
  <c r="S17" i="1"/>
  <c r="Y16" i="1"/>
  <c r="AA16" i="1" s="1"/>
  <c r="T16" i="1"/>
  <c r="V16" i="1"/>
  <c r="Z16" i="1" s="1"/>
  <c r="AF16" i="1" s="1"/>
  <c r="AE16" i="1"/>
  <c r="AD16" i="1"/>
  <c r="AC16" i="1"/>
  <c r="X16" i="1"/>
  <c r="W16" i="1"/>
  <c r="U16" i="1"/>
  <c r="S16" i="1"/>
  <c r="Y15" i="1"/>
  <c r="T15" i="1"/>
  <c r="Z15" i="1" s="1"/>
  <c r="AF15" i="1" s="1"/>
  <c r="V15" i="1"/>
  <c r="AE15" i="1"/>
  <c r="AD15" i="1"/>
  <c r="AC15" i="1"/>
  <c r="AC34" i="1" s="1"/>
  <c r="X15" i="1"/>
  <c r="W15" i="1"/>
  <c r="U15" i="1"/>
  <c r="S15" i="1"/>
  <c r="Y14" i="1"/>
  <c r="T14" i="1"/>
  <c r="AA14" i="1"/>
  <c r="AG14" i="1" s="1"/>
  <c r="V14" i="1"/>
  <c r="Z14" i="1"/>
  <c r="AF14" i="1"/>
  <c r="AE14" i="1"/>
  <c r="AD14" i="1"/>
  <c r="AD34" i="1" s="1"/>
  <c r="AC14" i="1"/>
  <c r="X14" i="1"/>
  <c r="W14" i="1"/>
  <c r="U14" i="1"/>
  <c r="S14" i="1"/>
  <c r="Y13" i="1"/>
  <c r="T13" i="1"/>
  <c r="AA13" i="1"/>
  <c r="AG13" i="1"/>
  <c r="V13" i="1"/>
  <c r="Z13" i="1"/>
  <c r="AF13" i="1"/>
  <c r="AB13" i="1"/>
  <c r="X13" i="1"/>
  <c r="W13" i="1"/>
  <c r="U13" i="1"/>
  <c r="S13" i="1"/>
  <c r="Y12" i="1"/>
  <c r="T12" i="1"/>
  <c r="AA12" i="1"/>
  <c r="AG12" i="1"/>
  <c r="V12" i="1"/>
  <c r="Z12" i="1" s="1"/>
  <c r="AF12" i="1" s="1"/>
  <c r="AB12" i="1"/>
  <c r="X12" i="1"/>
  <c r="W12" i="1"/>
  <c r="U12" i="1"/>
  <c r="S12" i="1"/>
  <c r="Y11" i="1"/>
  <c r="T11" i="1"/>
  <c r="AA11" i="1"/>
  <c r="AG11" i="1"/>
  <c r="V11" i="1"/>
  <c r="Z11" i="1"/>
  <c r="AF11" i="1"/>
  <c r="AB11" i="1"/>
  <c r="X11" i="1"/>
  <c r="W11" i="1"/>
  <c r="U11" i="1"/>
  <c r="S11" i="1"/>
  <c r="Y10" i="1"/>
  <c r="T10" i="1"/>
  <c r="AA10" i="1"/>
  <c r="AG10" i="1"/>
  <c r="V10" i="1"/>
  <c r="Z10" i="1" s="1"/>
  <c r="AC10" i="1"/>
  <c r="X10" i="1"/>
  <c r="W10" i="1"/>
  <c r="U10" i="1"/>
  <c r="S10" i="1"/>
  <c r="Y9" i="1"/>
  <c r="T9" i="1"/>
  <c r="AA9" i="1"/>
  <c r="V9" i="1"/>
  <c r="Z9" i="1"/>
  <c r="AF9" i="1"/>
  <c r="X9" i="1"/>
  <c r="W9" i="1"/>
  <c r="U9" i="1"/>
  <c r="S9" i="1"/>
  <c r="Y8" i="1"/>
  <c r="T8" i="1"/>
  <c r="AA8" i="1"/>
  <c r="AG8" i="1" s="1"/>
  <c r="V8" i="1"/>
  <c r="Z8" i="1"/>
  <c r="AF8" i="1"/>
  <c r="AB8" i="1"/>
  <c r="X8" i="1"/>
  <c r="W8" i="1"/>
  <c r="U8" i="1"/>
  <c r="S8" i="1"/>
  <c r="Y7" i="1"/>
  <c r="T7" i="1"/>
  <c r="AA7" i="1"/>
  <c r="AG7" i="1"/>
  <c r="V7" i="1"/>
  <c r="Z7" i="1" s="1"/>
  <c r="X7" i="1"/>
  <c r="W7" i="1"/>
  <c r="U7" i="1"/>
  <c r="S7" i="1"/>
  <c r="Y6" i="1"/>
  <c r="AA6" i="1" s="1"/>
  <c r="T6" i="1"/>
  <c r="V6" i="1"/>
  <c r="Z6" i="1" s="1"/>
  <c r="AF6" i="1" s="1"/>
  <c r="X6" i="1"/>
  <c r="W6" i="1"/>
  <c r="U6" i="1"/>
  <c r="S6" i="1"/>
  <c r="Y5" i="1"/>
  <c r="AA5" i="1" s="1"/>
  <c r="T5" i="1"/>
  <c r="V5" i="1"/>
  <c r="Z5" i="1" s="1"/>
  <c r="AF5" i="1" s="1"/>
  <c r="X5" i="1"/>
  <c r="W5" i="1"/>
  <c r="U5" i="1"/>
  <c r="S5" i="1"/>
  <c r="Y4" i="1"/>
  <c r="AA4" i="1" s="1"/>
  <c r="T4" i="1"/>
  <c r="T34" i="1" s="1"/>
  <c r="V4" i="1"/>
  <c r="V33" i="1" s="1"/>
  <c r="X4" i="1"/>
  <c r="W4" i="1"/>
  <c r="U4" i="1"/>
  <c r="S4" i="1"/>
  <c r="AF53" i="2"/>
  <c r="AF52" i="2"/>
  <c r="AE52" i="2"/>
  <c r="AD52" i="2"/>
  <c r="W52" i="2"/>
  <c r="U52" i="2"/>
  <c r="T52" i="2"/>
  <c r="AF51" i="2"/>
  <c r="AE51" i="2"/>
  <c r="AD51" i="2"/>
  <c r="W51" i="2"/>
  <c r="U51" i="2"/>
  <c r="T51" i="2"/>
  <c r="AF50" i="2"/>
  <c r="AE50" i="2"/>
  <c r="AD50" i="2"/>
  <c r="W50" i="2"/>
  <c r="U50" i="2"/>
  <c r="T50" i="2"/>
  <c r="AF49" i="2"/>
  <c r="Z48" i="2"/>
  <c r="AB48" i="2" s="1"/>
  <c r="AH48" i="2" s="1"/>
  <c r="U48" i="2"/>
  <c r="W48" i="2"/>
  <c r="AA48" i="2" s="1"/>
  <c r="AF48" i="2"/>
  <c r="Y48" i="2"/>
  <c r="X48" i="2"/>
  <c r="V48" i="2"/>
  <c r="T48" i="2"/>
  <c r="Z47" i="2"/>
  <c r="AB47" i="2" s="1"/>
  <c r="AH47" i="2" s="1"/>
  <c r="U47" i="2"/>
  <c r="W47" i="2"/>
  <c r="AA47" i="2" s="1"/>
  <c r="AF47" i="2"/>
  <c r="AE47" i="2"/>
  <c r="AD47" i="2"/>
  <c r="Y47" i="2"/>
  <c r="X47" i="2"/>
  <c r="V47" i="2"/>
  <c r="T47" i="2"/>
  <c r="Z46" i="2"/>
  <c r="U46" i="2"/>
  <c r="AB46" i="2"/>
  <c r="AH46" i="2" s="1"/>
  <c r="W46" i="2"/>
  <c r="AA46" i="2"/>
  <c r="AC37" i="2" s="1"/>
  <c r="AG46" i="2"/>
  <c r="AF46" i="2"/>
  <c r="Y46" i="2"/>
  <c r="X46" i="2"/>
  <c r="V46" i="2"/>
  <c r="T46" i="2"/>
  <c r="AF45" i="2"/>
  <c r="AE45" i="2"/>
  <c r="AD45" i="2"/>
  <c r="AF44" i="2"/>
  <c r="AE44" i="2"/>
  <c r="AD44" i="2"/>
  <c r="AF43" i="2"/>
  <c r="AE43" i="2"/>
  <c r="Z42" i="2"/>
  <c r="U42" i="2"/>
  <c r="AB42" i="2"/>
  <c r="AH42" i="2" s="1"/>
  <c r="W42" i="2"/>
  <c r="AA42" i="2"/>
  <c r="AC36" i="2" s="1"/>
  <c r="AG42" i="2"/>
  <c r="AF42" i="2"/>
  <c r="AE42" i="2"/>
  <c r="AD42" i="2"/>
  <c r="Y42" i="2"/>
  <c r="X42" i="2"/>
  <c r="V42" i="2"/>
  <c r="T42" i="2"/>
  <c r="AF41" i="2"/>
  <c r="AE41" i="2"/>
  <c r="AD41" i="2"/>
  <c r="Z40" i="2"/>
  <c r="AB40" i="2" s="1"/>
  <c r="AH40" i="2" s="1"/>
  <c r="U40" i="2"/>
  <c r="AA40" i="2" s="1"/>
  <c r="W40" i="2"/>
  <c r="AF40" i="2"/>
  <c r="AE40" i="2"/>
  <c r="AD40" i="2"/>
  <c r="Y40" i="2"/>
  <c r="X40" i="2"/>
  <c r="V40" i="2"/>
  <c r="T40" i="2"/>
  <c r="Z39" i="2"/>
  <c r="U39" i="2"/>
  <c r="AB39" i="2"/>
  <c r="AH39" i="2"/>
  <c r="W39" i="2"/>
  <c r="AA39" i="2"/>
  <c r="AG39" i="2"/>
  <c r="AF39" i="2"/>
  <c r="AE39" i="2"/>
  <c r="AD39" i="2"/>
  <c r="Y39" i="2"/>
  <c r="X39" i="2"/>
  <c r="V39" i="2"/>
  <c r="T39" i="2"/>
  <c r="AF38" i="2"/>
  <c r="AE38" i="2"/>
  <c r="AD38" i="2"/>
  <c r="Z37" i="2"/>
  <c r="AB37" i="2" s="1"/>
  <c r="AH37" i="2" s="1"/>
  <c r="U37" i="2"/>
  <c r="W37" i="2"/>
  <c r="AA37" i="2" s="1"/>
  <c r="AF37" i="2"/>
  <c r="AE37" i="2"/>
  <c r="AD37" i="2"/>
  <c r="Y37" i="2"/>
  <c r="X37" i="2"/>
  <c r="V37" i="2"/>
  <c r="T37" i="2"/>
  <c r="AF36" i="2"/>
  <c r="AE36" i="2"/>
  <c r="AD36" i="2"/>
  <c r="Z35" i="2"/>
  <c r="AB35" i="2" s="1"/>
  <c r="AH35" i="2" s="1"/>
  <c r="U35" i="2"/>
  <c r="W35" i="2"/>
  <c r="AA35" i="2"/>
  <c r="AG35" i="2" s="1"/>
  <c r="AF35" i="2"/>
  <c r="AE35" i="2"/>
  <c r="AD35" i="2"/>
  <c r="Y35" i="2"/>
  <c r="X35" i="2"/>
  <c r="V35" i="2"/>
  <c r="T35" i="2"/>
  <c r="Z34" i="2"/>
  <c r="U34" i="2"/>
  <c r="AB34" i="2"/>
  <c r="AH34" i="2" s="1"/>
  <c r="W34" i="2"/>
  <c r="AA34" i="2"/>
  <c r="AC31" i="2" s="1"/>
  <c r="AG34" i="2"/>
  <c r="AF34" i="2"/>
  <c r="AE34" i="2"/>
  <c r="AD34" i="2"/>
  <c r="AC34" i="2"/>
  <c r="Y34" i="2"/>
  <c r="X34" i="2"/>
  <c r="V34" i="2"/>
  <c r="T34" i="2"/>
  <c r="Z33" i="2"/>
  <c r="U33" i="2"/>
  <c r="AB33" i="2"/>
  <c r="AH33" i="2"/>
  <c r="W33" i="2"/>
  <c r="AA33" i="2" s="1"/>
  <c r="AF33" i="2"/>
  <c r="AE33" i="2"/>
  <c r="AD33" i="2"/>
  <c r="Y33" i="2"/>
  <c r="X33" i="2"/>
  <c r="V33" i="2"/>
  <c r="T33" i="2"/>
  <c r="Z32" i="2"/>
  <c r="AB32" i="2" s="1"/>
  <c r="AH32" i="2" s="1"/>
  <c r="U32" i="2"/>
  <c r="W32" i="2"/>
  <c r="AA32" i="2" s="1"/>
  <c r="AF32" i="2"/>
  <c r="AE32" i="2"/>
  <c r="AD32" i="2"/>
  <c r="Y32" i="2"/>
  <c r="X32" i="2"/>
  <c r="V32" i="2"/>
  <c r="T32" i="2"/>
  <c r="AF31" i="2"/>
  <c r="AE31" i="2"/>
  <c r="AD31" i="2"/>
  <c r="Z30" i="2"/>
  <c r="AB30" i="2" s="1"/>
  <c r="AH30" i="2" s="1"/>
  <c r="U30" i="2"/>
  <c r="W30" i="2"/>
  <c r="AA30" i="2"/>
  <c r="AG30" i="2" s="1"/>
  <c r="AF30" i="2"/>
  <c r="AE30" i="2"/>
  <c r="AD30" i="2"/>
  <c r="Y30" i="2"/>
  <c r="X30" i="2"/>
  <c r="V30" i="2"/>
  <c r="T30" i="2"/>
  <c r="Z29" i="2"/>
  <c r="U29" i="2"/>
  <c r="AB29" i="2"/>
  <c r="AH29" i="2" s="1"/>
  <c r="W29" i="2"/>
  <c r="AA29" i="2"/>
  <c r="AC27" i="2" s="1"/>
  <c r="AG29" i="2"/>
  <c r="AF29" i="2"/>
  <c r="AE29" i="2"/>
  <c r="AD29" i="2"/>
  <c r="Y29" i="2"/>
  <c r="X29" i="2"/>
  <c r="V29" i="2"/>
  <c r="T29" i="2"/>
  <c r="Z28" i="2"/>
  <c r="U28" i="2"/>
  <c r="AB28" i="2"/>
  <c r="AC26" i="2" s="1"/>
  <c r="AH28" i="2"/>
  <c r="W28" i="2"/>
  <c r="AA28" i="2"/>
  <c r="AG28" i="2"/>
  <c r="AF28" i="2"/>
  <c r="AE28" i="2"/>
  <c r="AD28" i="2"/>
  <c r="Y28" i="2"/>
  <c r="X28" i="2"/>
  <c r="V28" i="2"/>
  <c r="T28" i="2"/>
  <c r="Z27" i="2"/>
  <c r="AB27" i="2" s="1"/>
  <c r="AH27" i="2" s="1"/>
  <c r="U27" i="2"/>
  <c r="W27" i="2"/>
  <c r="AA27" i="2" s="1"/>
  <c r="AF27" i="2"/>
  <c r="AE27" i="2"/>
  <c r="AD27" i="2"/>
  <c r="Y27" i="2"/>
  <c r="X27" i="2"/>
  <c r="V27" i="2"/>
  <c r="T27" i="2"/>
  <c r="Z26" i="2"/>
  <c r="AB26" i="2" s="1"/>
  <c r="U26" i="2"/>
  <c r="W26" i="2"/>
  <c r="AA26" i="2"/>
  <c r="AG26" i="2" s="1"/>
  <c r="Y26" i="2"/>
  <c r="X26" i="2"/>
  <c r="V26" i="2"/>
  <c r="T26" i="2"/>
  <c r="Z25" i="2"/>
  <c r="AB25" i="2" s="1"/>
  <c r="AH25" i="2" s="1"/>
  <c r="U25" i="2"/>
  <c r="AA25" i="2" s="1"/>
  <c r="W25" i="2"/>
  <c r="AF25" i="2"/>
  <c r="AE25" i="2"/>
  <c r="AD25" i="2"/>
  <c r="Y25" i="2"/>
  <c r="X25" i="2"/>
  <c r="V25" i="2"/>
  <c r="T25" i="2"/>
  <c r="Z24" i="2"/>
  <c r="U24" i="2"/>
  <c r="AB24" i="2"/>
  <c r="AH24" i="2" s="1"/>
  <c r="W24" i="2"/>
  <c r="AA24" i="2"/>
  <c r="AG24" i="2"/>
  <c r="AF24" i="2"/>
  <c r="AE24" i="2"/>
  <c r="AD24" i="2"/>
  <c r="Y24" i="2"/>
  <c r="X24" i="2"/>
  <c r="V24" i="2"/>
  <c r="T24" i="2"/>
  <c r="Z23" i="2"/>
  <c r="U23" i="2"/>
  <c r="AB23" i="2"/>
  <c r="AH23" i="2"/>
  <c r="W23" i="2"/>
  <c r="AA23" i="2" s="1"/>
  <c r="AF23" i="2"/>
  <c r="AE23" i="2"/>
  <c r="AD23" i="2"/>
  <c r="Y23" i="2"/>
  <c r="X23" i="2"/>
  <c r="V23" i="2"/>
  <c r="T23" i="2"/>
  <c r="Z22" i="2"/>
  <c r="AB22" i="2" s="1"/>
  <c r="AH22" i="2" s="1"/>
  <c r="U22" i="2"/>
  <c r="W22" i="2"/>
  <c r="AA22" i="2" s="1"/>
  <c r="AD22" i="2"/>
  <c r="AC22" i="2"/>
  <c r="Y22" i="2"/>
  <c r="X22" i="2"/>
  <c r="V22" i="2"/>
  <c r="T22" i="2"/>
  <c r="Z21" i="2"/>
  <c r="U21" i="2"/>
  <c r="AB21" i="2"/>
  <c r="AH21" i="2"/>
  <c r="W21" i="2"/>
  <c r="AA21" i="2"/>
  <c r="AG21" i="2"/>
  <c r="AD21" i="2"/>
  <c r="Y21" i="2"/>
  <c r="X21" i="2"/>
  <c r="V21" i="2"/>
  <c r="T21" i="2"/>
  <c r="Z20" i="2"/>
  <c r="U20" i="2"/>
  <c r="AA20" i="2" s="1"/>
  <c r="AB20" i="2"/>
  <c r="AH20" i="2" s="1"/>
  <c r="W20" i="2"/>
  <c r="AD20" i="2"/>
  <c r="Y20" i="2"/>
  <c r="X20" i="2"/>
  <c r="V20" i="2"/>
  <c r="T20" i="2"/>
  <c r="Z19" i="2"/>
  <c r="U19" i="2"/>
  <c r="AA19" i="2" s="1"/>
  <c r="AG19" i="2" s="1"/>
  <c r="W19" i="2"/>
  <c r="AD19" i="2"/>
  <c r="AC19" i="2"/>
  <c r="Y19" i="2"/>
  <c r="X19" i="2"/>
  <c r="V19" i="2"/>
  <c r="T19" i="2"/>
  <c r="Z18" i="2"/>
  <c r="U18" i="2"/>
  <c r="W18" i="2"/>
  <c r="AA18" i="2" s="1"/>
  <c r="AE18" i="2"/>
  <c r="AD18" i="2"/>
  <c r="Y18" i="2"/>
  <c r="X18" i="2"/>
  <c r="V18" i="2"/>
  <c r="T18" i="2"/>
  <c r="AE17" i="2"/>
  <c r="AD17" i="2"/>
  <c r="Z16" i="2"/>
  <c r="U16" i="2"/>
  <c r="AB16" i="2"/>
  <c r="AH16" i="2"/>
  <c r="W16" i="2"/>
  <c r="AA16" i="2"/>
  <c r="AG16" i="2"/>
  <c r="AF16" i="2"/>
  <c r="AE16" i="2"/>
  <c r="AD16" i="2"/>
  <c r="Y16" i="2"/>
  <c r="X16" i="2"/>
  <c r="V16" i="2"/>
  <c r="T16" i="2"/>
  <c r="AC15" i="2"/>
  <c r="Z14" i="2"/>
  <c r="U14" i="2"/>
  <c r="AB14" i="2"/>
  <c r="AC14" i="2" s="1"/>
  <c r="AH14" i="2"/>
  <c r="W14" i="2"/>
  <c r="AA14" i="2"/>
  <c r="AG14" i="2"/>
  <c r="AE14" i="2"/>
  <c r="AD14" i="2"/>
  <c r="Y14" i="2"/>
  <c r="X14" i="2"/>
  <c r="V14" i="2"/>
  <c r="T14" i="2"/>
  <c r="Z13" i="2"/>
  <c r="AB13" i="2" s="1"/>
  <c r="AH13" i="2" s="1"/>
  <c r="U13" i="2"/>
  <c r="AA13" i="2" s="1"/>
  <c r="W13" i="2"/>
  <c r="AE13" i="2"/>
  <c r="AD13" i="2"/>
  <c r="Y13" i="2"/>
  <c r="X13" i="2"/>
  <c r="V13" i="2"/>
  <c r="T13" i="2"/>
  <c r="Z12" i="2"/>
  <c r="U12" i="2"/>
  <c r="AB12" i="2"/>
  <c r="AH12" i="2"/>
  <c r="W12" i="2"/>
  <c r="AA12" i="2"/>
  <c r="AG12" i="2"/>
  <c r="AC12" i="2"/>
  <c r="Y12" i="2"/>
  <c r="X12" i="2"/>
  <c r="V12" i="2"/>
  <c r="T12" i="2"/>
  <c r="Z11" i="2"/>
  <c r="U11" i="2"/>
  <c r="AB11" i="2"/>
  <c r="AH11" i="2"/>
  <c r="W11" i="2"/>
  <c r="AA11" i="2"/>
  <c r="AG11" i="2"/>
  <c r="AC11" i="2"/>
  <c r="Y11" i="2"/>
  <c r="X11" i="2"/>
  <c r="V11" i="2"/>
  <c r="T11" i="2"/>
  <c r="Z10" i="2"/>
  <c r="U10" i="2"/>
  <c r="AB10" i="2"/>
  <c r="AH10" i="2"/>
  <c r="W10" i="2"/>
  <c r="AA10" i="2"/>
  <c r="AG10" i="2"/>
  <c r="AC10" i="2"/>
  <c r="Y10" i="2"/>
  <c r="X10" i="2"/>
  <c r="V10" i="2"/>
  <c r="T10" i="2"/>
  <c r="Z9" i="2"/>
  <c r="U9" i="2"/>
  <c r="AB9" i="2"/>
  <c r="AH9" i="2"/>
  <c r="W9" i="2"/>
  <c r="AA9" i="2"/>
  <c r="AG9" i="2"/>
  <c r="AC9" i="2"/>
  <c r="Y9" i="2"/>
  <c r="X9" i="2"/>
  <c r="V9" i="2"/>
  <c r="T9" i="2"/>
  <c r="Z8" i="2"/>
  <c r="U8" i="2"/>
  <c r="AB8" i="2"/>
  <c r="AH8" i="2"/>
  <c r="W8" i="2"/>
  <c r="AA8" i="2"/>
  <c r="AG8" i="2"/>
  <c r="AC8" i="2"/>
  <c r="Y8" i="2"/>
  <c r="X8" i="2"/>
  <c r="V8" i="2"/>
  <c r="T8" i="2"/>
  <c r="Z7" i="2"/>
  <c r="U7" i="2"/>
  <c r="AB7" i="2"/>
  <c r="AH7" i="2"/>
  <c r="W7" i="2"/>
  <c r="AA7" i="2"/>
  <c r="AG7" i="2"/>
  <c r="AC7" i="2"/>
  <c r="Y7" i="2"/>
  <c r="X7" i="2"/>
  <c r="V7" i="2"/>
  <c r="T7" i="2"/>
  <c r="Z6" i="2"/>
  <c r="U6" i="2"/>
  <c r="AB6" i="2"/>
  <c r="AH6" i="2"/>
  <c r="W6" i="2"/>
  <c r="AA6" i="2" s="1"/>
  <c r="AG6" i="2" s="1"/>
  <c r="AC6" i="2"/>
  <c r="Y6" i="2"/>
  <c r="X6" i="2"/>
  <c r="V6" i="2"/>
  <c r="T6" i="2"/>
  <c r="Z5" i="2"/>
  <c r="U5" i="2"/>
  <c r="AB5" i="2"/>
  <c r="AH5" i="2"/>
  <c r="W5" i="2"/>
  <c r="AA5" i="2" s="1"/>
  <c r="AG5" i="2" s="1"/>
  <c r="Y5" i="2"/>
  <c r="X5" i="2"/>
  <c r="V5" i="2"/>
  <c r="T5" i="2"/>
  <c r="Z4" i="2"/>
  <c r="U4" i="2"/>
  <c r="AB4" i="2"/>
  <c r="AH4" i="2"/>
  <c r="W4" i="2"/>
  <c r="AA4" i="2" s="1"/>
  <c r="AG4" i="2" s="1"/>
  <c r="AC4" i="2"/>
  <c r="Y4" i="2"/>
  <c r="X4" i="2"/>
  <c r="V4" i="2"/>
  <c r="T4" i="2"/>
  <c r="G4" i="3"/>
  <c r="C4" i="3"/>
  <c r="AG13" i="2" l="1"/>
  <c r="AC13" i="2"/>
  <c r="AB19" i="2"/>
  <c r="AH19" i="2" s="1"/>
  <c r="AC18" i="2"/>
  <c r="AG20" i="2"/>
  <c r="AG22" i="2"/>
  <c r="AC20" i="2"/>
  <c r="AG25" i="2"/>
  <c r="AC23" i="2"/>
  <c r="AC29" i="2"/>
  <c r="AG32" i="2"/>
  <c r="AB18" i="2"/>
  <c r="AH18" i="2" s="1"/>
  <c r="Z56" i="2"/>
  <c r="AG4" i="1"/>
  <c r="AB4" i="1"/>
  <c r="AC5" i="2"/>
  <c r="AC16" i="2"/>
  <c r="AG18" i="2"/>
  <c r="AC24" i="2"/>
  <c r="AH26" i="2"/>
  <c r="AC25" i="2"/>
  <c r="AG27" i="2"/>
  <c r="AG6" i="1"/>
  <c r="AB6" i="1"/>
  <c r="AC21" i="2"/>
  <c r="AG23" i="2"/>
  <c r="AC30" i="2"/>
  <c r="AG33" i="2"/>
  <c r="AG37" i="2"/>
  <c r="AC33" i="2"/>
  <c r="AG40" i="2"/>
  <c r="AC35" i="2"/>
  <c r="AG47" i="2"/>
  <c r="AC38" i="2"/>
  <c r="AG48" i="2"/>
  <c r="AC39" i="2"/>
  <c r="AG5" i="1"/>
  <c r="AB5" i="1"/>
  <c r="AF7" i="1"/>
  <c r="AB7" i="1"/>
  <c r="AG22" i="1"/>
  <c r="AB22" i="1"/>
  <c r="AD56" i="2"/>
  <c r="AD55" i="2"/>
  <c r="AC28" i="2"/>
  <c r="K3" i="7"/>
  <c r="L3" i="7" s="1"/>
  <c r="U56" i="2"/>
  <c r="U55" i="2"/>
  <c r="AE55" i="2"/>
  <c r="AE56" i="2"/>
  <c r="AC32" i="2"/>
  <c r="U34" i="1"/>
  <c r="U33" i="1"/>
  <c r="AC33" i="1"/>
  <c r="AB14" i="1"/>
  <c r="AA15" i="1"/>
  <c r="AB21" i="1"/>
  <c r="AG21" i="1"/>
  <c r="Z23" i="1"/>
  <c r="AF23" i="1" s="1"/>
  <c r="AG24" i="1"/>
  <c r="AB25" i="1"/>
  <c r="AF26" i="1"/>
  <c r="G27" i="6"/>
  <c r="G29" i="6" s="1"/>
  <c r="Y34" i="1"/>
  <c r="Y33" i="1"/>
  <c r="AB16" i="1"/>
  <c r="AG16" i="1"/>
  <c r="AB18" i="1"/>
  <c r="AB23" i="1"/>
  <c r="AG23" i="1"/>
  <c r="AB26" i="1"/>
  <c r="AG26" i="1"/>
  <c r="V55" i="2"/>
  <c r="W56" i="2"/>
  <c r="W55" i="2"/>
  <c r="Z55" i="2"/>
  <c r="Z4" i="1"/>
  <c r="AF4" i="1" s="1"/>
  <c r="T33" i="1"/>
  <c r="AG9" i="1"/>
  <c r="AB9" i="1"/>
  <c r="AB10" i="1"/>
  <c r="AF10" i="1"/>
  <c r="AB17" i="1"/>
  <c r="AB19" i="1"/>
  <c r="AB27" i="1"/>
  <c r="AG27" i="1"/>
  <c r="H5" i="8"/>
  <c r="H6" i="8" s="1"/>
  <c r="H7" i="8" s="1"/>
  <c r="H8" i="8" s="1"/>
  <c r="H9" i="8" s="1"/>
  <c r="H10" i="8" s="1"/>
  <c r="H11" i="8" s="1"/>
  <c r="H12" i="8" s="1"/>
  <c r="H13" i="8" s="1"/>
  <c r="H14" i="8" s="1"/>
  <c r="H15" i="8" s="1"/>
  <c r="H16" i="8" s="1"/>
  <c r="H17" i="8" s="1"/>
  <c r="H18" i="8" s="1"/>
  <c r="H19" i="8" s="1"/>
  <c r="H20" i="8" s="1"/>
  <c r="H21" i="8" s="1"/>
  <c r="H22" i="8" s="1"/>
  <c r="H23" i="8" s="1"/>
  <c r="H24" i="8" s="1"/>
  <c r="H25" i="8" s="1"/>
  <c r="H26" i="8" s="1"/>
  <c r="H27" i="8" s="1"/>
  <c r="H28" i="8" s="1"/>
  <c r="H29" i="8" s="1"/>
  <c r="H30" i="8" s="1"/>
  <c r="H31" i="8" s="1"/>
  <c r="H32" i="8" s="1"/>
  <c r="H33" i="8" s="1"/>
  <c r="H34" i="8" s="1"/>
  <c r="H35" i="8" s="1"/>
  <c r="H36" i="8" s="1"/>
  <c r="H37" i="8" s="1"/>
  <c r="H38" i="8" s="1"/>
  <c r="H39" i="8" s="1"/>
  <c r="H40" i="8" s="1"/>
  <c r="H41" i="8" s="1"/>
  <c r="H42" i="8" s="1"/>
  <c r="H43" i="8" s="1"/>
  <c r="H44" i="8" s="1"/>
  <c r="H45" i="8" s="1"/>
  <c r="H46" i="8" s="1"/>
  <c r="H47" i="8" s="1"/>
  <c r="H48" i="8" s="1"/>
  <c r="H49" i="8" s="1"/>
  <c r="H50" i="8" s="1"/>
  <c r="H51" i="8" s="1"/>
  <c r="H52" i="8" s="1"/>
  <c r="H53" i="8" s="1"/>
  <c r="H54" i="8" s="1"/>
  <c r="H55" i="8" s="1"/>
  <c r="H56" i="8" s="1"/>
  <c r="H57" i="8" s="1"/>
  <c r="H58" i="8" s="1"/>
  <c r="H59" i="8" s="1"/>
  <c r="H60" i="8" s="1"/>
  <c r="H61" i="8" s="1"/>
  <c r="H62" i="8" s="1"/>
  <c r="H63" i="8" s="1"/>
  <c r="H64" i="8" s="1"/>
  <c r="H65" i="8" s="1"/>
  <c r="H66" i="8" s="1"/>
  <c r="H67" i="8" s="1"/>
  <c r="H68" i="8" s="1"/>
  <c r="H69" i="8" s="1"/>
  <c r="H70" i="8" s="1"/>
  <c r="H71" i="8" s="1"/>
  <c r="H72" i="8" s="1"/>
  <c r="H73" i="8" s="1"/>
  <c r="H74" i="8" s="1"/>
  <c r="H75" i="8" s="1"/>
  <c r="H76" i="8" s="1"/>
  <c r="H77" i="8" s="1"/>
  <c r="H78" i="8" s="1"/>
  <c r="H79" i="8" s="1"/>
  <c r="H80" i="8" s="1"/>
  <c r="H81" i="8" s="1"/>
  <c r="H82" i="8" s="1"/>
  <c r="H83" i="8" s="1"/>
  <c r="H84" i="8" s="1"/>
  <c r="H85" i="8" s="1"/>
  <c r="H86" i="8" s="1"/>
  <c r="H87" i="8" s="1"/>
  <c r="H88" i="8" s="1"/>
  <c r="H89" i="8" s="1"/>
  <c r="H90" i="8" s="1"/>
  <c r="H91" i="8" s="1"/>
  <c r="H92" i="8" s="1"/>
  <c r="H93" i="8" s="1"/>
  <c r="H94" i="8" s="1"/>
  <c r="H95" i="8" s="1"/>
  <c r="H96" i="8" s="1"/>
  <c r="H97" i="8" s="1"/>
  <c r="H98" i="8" s="1"/>
  <c r="H99" i="8" s="1"/>
  <c r="H100" i="8" s="1"/>
  <c r="H101" i="8" s="1"/>
  <c r="H102" i="8" s="1"/>
  <c r="H103" i="8" s="1"/>
  <c r="H104" i="8" s="1"/>
  <c r="H105" i="8" s="1"/>
  <c r="H106" i="8" s="1"/>
  <c r="H107" i="8" s="1"/>
  <c r="H108" i="8" s="1"/>
  <c r="H109" i="8" s="1"/>
  <c r="H110" i="8" s="1"/>
  <c r="H111" i="8" s="1"/>
  <c r="H112" i="8" s="1"/>
  <c r="H113" i="8" s="1"/>
  <c r="H114" i="8" s="1"/>
  <c r="H115" i="8" s="1"/>
  <c r="H116" i="8" s="1"/>
  <c r="H117" i="8" s="1"/>
  <c r="H118" i="8" s="1"/>
  <c r="H119" i="8" s="1"/>
  <c r="H120" i="8" s="1"/>
  <c r="H121" i="8" s="1"/>
  <c r="H122" i="8" s="1"/>
  <c r="H123" i="8" s="1"/>
  <c r="H124" i="8" s="1"/>
  <c r="H125" i="8" s="1"/>
  <c r="H126" i="8" s="1"/>
  <c r="H127" i="8" s="1"/>
  <c r="H128" i="8" s="1"/>
  <c r="H129" i="8" s="1"/>
  <c r="H130" i="8" s="1"/>
  <c r="H131" i="8" s="1"/>
  <c r="H132" i="8" s="1"/>
  <c r="H133" i="8" s="1"/>
  <c r="H134" i="8" s="1"/>
  <c r="H135" i="8" s="1"/>
  <c r="H136" i="8" s="1"/>
  <c r="H137" i="8" s="1"/>
  <c r="H138" i="8" s="1"/>
  <c r="H139" i="8" s="1"/>
  <c r="H140" i="8" s="1"/>
  <c r="H141" i="8" s="1"/>
  <c r="H142" i="8" s="1"/>
  <c r="H143" i="8" s="1"/>
  <c r="H144" i="8" s="1"/>
  <c r="H145" i="8" s="1"/>
  <c r="H146" i="8" s="1"/>
  <c r="H147" i="8" s="1"/>
  <c r="H148" i="8" s="1"/>
  <c r="H149" i="8" s="1"/>
  <c r="H150" i="8" s="1"/>
  <c r="H151" i="8" s="1"/>
  <c r="H152" i="8" s="1"/>
  <c r="H153" i="8" s="1"/>
  <c r="H154" i="8" s="1"/>
  <c r="H155" i="8" s="1"/>
  <c r="H156" i="8" s="1"/>
  <c r="H157" i="8" s="1"/>
  <c r="H158" i="8" s="1"/>
  <c r="H159" i="8" s="1"/>
  <c r="H160" i="8" s="1"/>
  <c r="H161" i="8" s="1"/>
  <c r="H162" i="8" s="1"/>
  <c r="H163" i="8" s="1"/>
  <c r="H164" i="8" s="1"/>
  <c r="H165" i="8" s="1"/>
  <c r="H166" i="8" s="1"/>
  <c r="H167" i="8" s="1"/>
  <c r="H168" i="8" s="1"/>
  <c r="H169" i="8" s="1"/>
  <c r="H170" i="8" s="1"/>
  <c r="H171" i="8" s="1"/>
  <c r="V34" i="1"/>
  <c r="V56" i="2"/>
  <c r="AD33" i="1"/>
  <c r="AC17" i="2" l="1"/>
  <c r="AB15" i="1"/>
  <c r="AG15" i="1"/>
</calcChain>
</file>

<file path=xl/comments1.xml><?xml version="1.0" encoding="utf-8"?>
<comments xmlns="http://schemas.openxmlformats.org/spreadsheetml/2006/main">
  <authors>
    <author>Pauline Treble</author>
  </authors>
  <commentList>
    <comment ref="I4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5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6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7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8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9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10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11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12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13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14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15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16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17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  <comment ref="I18" authorId="0" shapeId="0">
      <text>
        <r>
          <rPr>
            <b/>
            <sz val="9"/>
            <color indexed="81"/>
            <rFont val="Calibri"/>
            <family val="2"/>
          </rPr>
          <t>Pauline Treble:</t>
        </r>
        <r>
          <rPr>
            <sz val="9"/>
            <color indexed="81"/>
            <rFont val="Calibri"/>
            <family val="2"/>
          </rPr>
          <t xml:space="preserve">
LIMS 2015_0077</t>
        </r>
      </text>
    </comment>
  </commentList>
</comments>
</file>

<file path=xl/comments2.xml><?xml version="1.0" encoding="utf-8"?>
<comments xmlns="http://schemas.openxmlformats.org/spreadsheetml/2006/main">
  <authors>
    <author>unsw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unsw:</t>
        </r>
        <r>
          <rPr>
            <sz val="9"/>
            <color indexed="81"/>
            <rFont val="Tahoma"/>
            <family val="2"/>
          </rPr>
          <t xml:space="preserve">
inaccuracy in regression is due to these causing overspilling. 
</t>
        </r>
      </text>
    </comment>
    <comment ref="F20" authorId="0" shapeId="0">
      <text>
        <r>
          <rPr>
            <b/>
            <sz val="9"/>
            <color indexed="81"/>
            <rFont val="Tahoma"/>
            <family val="2"/>
          </rPr>
          <t>Gurinder: Standard drip vol value from genty 1998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unsw</author>
  </authors>
  <commentList>
    <comment ref="D20" authorId="0" shapeId="0">
      <text>
        <r>
          <rPr>
            <b/>
            <sz val="9"/>
            <color indexed="81"/>
            <rFont val="Tahoma"/>
            <family val="2"/>
          </rPr>
          <t>Gurinder:</t>
        </r>
        <r>
          <rPr>
            <sz val="9"/>
            <color indexed="81"/>
            <rFont val="Tahoma"/>
            <family val="2"/>
          </rPr>
          <t xml:space="preserve">
Calculated using Genty 1998 formula </t>
        </r>
      </text>
    </comment>
  </commentList>
</comments>
</file>

<file path=xl/sharedStrings.xml><?xml version="1.0" encoding="utf-8"?>
<sst xmlns="http://schemas.openxmlformats.org/spreadsheetml/2006/main" count="488" uniqueCount="234">
  <si>
    <t>Site 1A Yanchep Data</t>
  </si>
  <si>
    <t>Date collected</t>
  </si>
  <si>
    <t>Dilution Factor (by weight)</t>
  </si>
  <si>
    <t>Ba (mg/L)</t>
  </si>
  <si>
    <t>Ca (mg/L)</t>
  </si>
  <si>
    <t>K (mg/L)</t>
  </si>
  <si>
    <t>Mg (mg/L)</t>
  </si>
  <si>
    <t>Na (mg/L)</t>
  </si>
  <si>
    <t>S (mg/L)</t>
  </si>
  <si>
    <t>Sr (mg/L)</t>
  </si>
  <si>
    <t>Ca (mmol/L)</t>
  </si>
  <si>
    <t>K (mmol/L)</t>
  </si>
  <si>
    <t>Mg (mmol/L)</t>
  </si>
  <si>
    <t>Na (mmol/L)</t>
  </si>
  <si>
    <t>S (mmol/L)</t>
  </si>
  <si>
    <t>Sr (mmol/L)</t>
  </si>
  <si>
    <t>Site 2A Yanchep Data</t>
  </si>
  <si>
    <t>Centre point (0) - S31º32.852´ E115º41.462´</t>
  </si>
  <si>
    <t>North 1.0m</t>
  </si>
  <si>
    <t>North 2.0m</t>
  </si>
  <si>
    <t>North 3.0m</t>
  </si>
  <si>
    <t>North 4.0m</t>
  </si>
  <si>
    <t>North 5.0m</t>
  </si>
  <si>
    <t>South 1.0m</t>
  </si>
  <si>
    <t>South 2.0m</t>
  </si>
  <si>
    <t>South 3.0m</t>
  </si>
  <si>
    <t>South 4.0m</t>
  </si>
  <si>
    <t>South 5.0m</t>
  </si>
  <si>
    <t>East 1.0m</t>
  </si>
  <si>
    <t>East 2.0m</t>
  </si>
  <si>
    <t>East 3.0m</t>
  </si>
  <si>
    <t>East 4.0m</t>
  </si>
  <si>
    <t>East 5.0m</t>
  </si>
  <si>
    <t>West 1.0m</t>
  </si>
  <si>
    <t>West 2.0m</t>
  </si>
  <si>
    <t>West 3.0m</t>
  </si>
  <si>
    <t>West 4.0m</t>
  </si>
  <si>
    <t>West 5.0m</t>
  </si>
  <si>
    <t>Site1a - Wheat field/dead Tuart</t>
  </si>
  <si>
    <t>Centre point (0) - S31º32.850´ E115º41.483´</t>
  </si>
  <si>
    <t>Depth (mm)</t>
  </si>
  <si>
    <t>Distance from center</t>
  </si>
  <si>
    <t>Distance from Center</t>
  </si>
  <si>
    <t>Site 2a - Cathedral</t>
  </si>
  <si>
    <t>pH</t>
  </si>
  <si>
    <t xml:space="preserve">Site 1a </t>
  </si>
  <si>
    <t>Date</t>
  </si>
  <si>
    <t>d18O</t>
  </si>
  <si>
    <t>Site 2a</t>
  </si>
  <si>
    <t>Date 2a</t>
  </si>
  <si>
    <t>IRMS Method Data at Australian National University</t>
  </si>
  <si>
    <t>CRDS Method at ANSTO</t>
  </si>
  <si>
    <t>2H</t>
  </si>
  <si>
    <t>A)</t>
  </si>
  <si>
    <t>B)</t>
  </si>
  <si>
    <t>Average depth (mm)</t>
  </si>
  <si>
    <t>Dry</t>
  </si>
  <si>
    <t>PCP</t>
  </si>
  <si>
    <t>Anion Code</t>
  </si>
  <si>
    <t>Cation - Code</t>
  </si>
  <si>
    <t>H2</t>
  </si>
  <si>
    <t>Ba (mol/L)</t>
  </si>
  <si>
    <t>Mg/Ca</t>
  </si>
  <si>
    <t>Sr/Ca</t>
  </si>
  <si>
    <t>Sr/Mg</t>
  </si>
  <si>
    <t>Cl (mmol/L)</t>
  </si>
  <si>
    <t>SO4 (mmol/L)</t>
  </si>
  <si>
    <t>NO3 (mmol/L)</t>
  </si>
  <si>
    <t>log_Mg/ca</t>
  </si>
  <si>
    <t>log_Sr/ca</t>
  </si>
  <si>
    <t>YD-23</t>
  </si>
  <si>
    <t>YD-1</t>
  </si>
  <si>
    <t>YD-3</t>
  </si>
  <si>
    <t>YD-5</t>
  </si>
  <si>
    <t>YD-7</t>
  </si>
  <si>
    <t>YD-30</t>
  </si>
  <si>
    <t>YD-29</t>
  </si>
  <si>
    <t>YD-9</t>
  </si>
  <si>
    <t>YD-11</t>
  </si>
  <si>
    <t>YD-14</t>
  </si>
  <si>
    <t>YD-15</t>
  </si>
  <si>
    <t>YD-17</t>
  </si>
  <si>
    <t>YD-18</t>
  </si>
  <si>
    <t>YD-32</t>
  </si>
  <si>
    <t>YD-24</t>
  </si>
  <si>
    <t>YD-35</t>
  </si>
  <si>
    <t>YD-34</t>
  </si>
  <si>
    <t>YD-57</t>
  </si>
  <si>
    <t>YD-40</t>
  </si>
  <si>
    <t>YD-39</t>
  </si>
  <si>
    <t>YD-43</t>
  </si>
  <si>
    <t>YD-44</t>
  </si>
  <si>
    <t>YD-45</t>
  </si>
  <si>
    <t>YD-42</t>
  </si>
  <si>
    <t>YD-50</t>
  </si>
  <si>
    <t>YD-52</t>
  </si>
  <si>
    <t>YD-76</t>
  </si>
  <si>
    <t>YD-51</t>
  </si>
  <si>
    <t>YD-53</t>
  </si>
  <si>
    <t>YD-56</t>
  </si>
  <si>
    <t>YD-61</t>
  </si>
  <si>
    <t>YD-63</t>
  </si>
  <si>
    <t>YD-66</t>
  </si>
  <si>
    <t>YD-68</t>
  </si>
  <si>
    <t>YD-67</t>
  </si>
  <si>
    <t>YD-81</t>
  </si>
  <si>
    <t>Anion-code</t>
  </si>
  <si>
    <t>Cation-Code</t>
  </si>
  <si>
    <t>Fe (mg/L)</t>
  </si>
  <si>
    <r>
      <t>Cl</t>
    </r>
    <r>
      <rPr>
        <vertAlign val="superscript"/>
        <sz val="11"/>
        <rFont val="Calibri"/>
        <family val="2"/>
        <scheme val="minor"/>
      </rPr>
      <t>-(mg/L)</t>
    </r>
  </si>
  <si>
    <r>
      <t>SO</t>
    </r>
    <r>
      <rPr>
        <vertAlign val="subscript"/>
        <sz val="11"/>
        <rFont val="Calibri"/>
        <family val="2"/>
        <scheme val="minor"/>
      </rPr>
      <t>4</t>
    </r>
    <r>
      <rPr>
        <vertAlign val="superscript"/>
        <sz val="11"/>
        <rFont val="Calibri"/>
        <family val="2"/>
        <scheme val="minor"/>
      </rPr>
      <t>2-(mg/L)</t>
    </r>
  </si>
  <si>
    <r>
      <t>NO</t>
    </r>
    <r>
      <rPr>
        <vertAlign val="subscript"/>
        <sz val="11"/>
        <rFont val="Calibri"/>
        <family val="2"/>
        <scheme val="minor"/>
      </rPr>
      <t>3</t>
    </r>
    <r>
      <rPr>
        <vertAlign val="superscript"/>
        <sz val="11"/>
        <rFont val="Calibri"/>
        <family val="2"/>
        <scheme val="minor"/>
      </rPr>
      <t>-(mg/L)</t>
    </r>
  </si>
  <si>
    <t>Bottle lvl (fraction of ~500ml)</t>
  </si>
  <si>
    <t>Drip Rate (m/drop)</t>
  </si>
  <si>
    <t>Ba (mmol/L</t>
  </si>
  <si>
    <t>Mg/Sr</t>
  </si>
  <si>
    <t>ln_Mg/Ca</t>
  </si>
  <si>
    <t>ln_Sr/Ca</t>
  </si>
  <si>
    <t>YD-2</t>
  </si>
  <si>
    <t>&lt;0.003</t>
  </si>
  <si>
    <t>YD-4</t>
  </si>
  <si>
    <t>YD-6</t>
  </si>
  <si>
    <t>YD-8</t>
  </si>
  <si>
    <t>YD-28</t>
  </si>
  <si>
    <t>YD-10</t>
  </si>
  <si>
    <t>YD-12</t>
  </si>
  <si>
    <t>YD-13</t>
  </si>
  <si>
    <t>YD-16</t>
  </si>
  <si>
    <t>YD-21</t>
  </si>
  <si>
    <t>YD-33</t>
  </si>
  <si>
    <t>YD-XA</t>
  </si>
  <si>
    <t>YD-37</t>
  </si>
  <si>
    <t>YD-31</t>
  </si>
  <si>
    <t>YD-36</t>
  </si>
  <si>
    <t>YD-38</t>
  </si>
  <si>
    <t>YD-46</t>
  </si>
  <si>
    <t>YD-48</t>
  </si>
  <si>
    <t>YD-49</t>
  </si>
  <si>
    <t>YD-64</t>
  </si>
  <si>
    <t>YD-62</t>
  </si>
  <si>
    <t>YD-47</t>
  </si>
  <si>
    <t>YD-72</t>
  </si>
  <si>
    <t>YD-55</t>
  </si>
  <si>
    <t>YD-54</t>
  </si>
  <si>
    <t>YD-59</t>
  </si>
  <si>
    <t>YD-58</t>
  </si>
  <si>
    <t>YD-65</t>
  </si>
  <si>
    <t>YD-60</t>
  </si>
  <si>
    <t>YD-70</t>
  </si>
  <si>
    <t>YD-69</t>
  </si>
  <si>
    <t>YD-83</t>
  </si>
  <si>
    <t>YD-85</t>
  </si>
  <si>
    <t>YD-86</t>
  </si>
  <si>
    <t>YD-88</t>
  </si>
  <si>
    <t>YD-80</t>
  </si>
  <si>
    <t>YD-87</t>
  </si>
  <si>
    <t>YD-79</t>
  </si>
  <si>
    <t>YD-95</t>
  </si>
  <si>
    <t>YD-84</t>
  </si>
  <si>
    <t>YD-99</t>
  </si>
  <si>
    <t>YD-98</t>
  </si>
  <si>
    <t>YD-97</t>
  </si>
  <si>
    <t>YD-89</t>
  </si>
  <si>
    <t>YD-94</t>
  </si>
  <si>
    <t>YD-91</t>
  </si>
  <si>
    <t>YD-92</t>
  </si>
  <si>
    <t>YD-100</t>
  </si>
  <si>
    <t>YD-106</t>
  </si>
  <si>
    <t>YD-90</t>
  </si>
  <si>
    <t>YD-96</t>
  </si>
  <si>
    <t>YD-101</t>
  </si>
  <si>
    <t>YD-104</t>
  </si>
  <si>
    <t>YD-110</t>
  </si>
  <si>
    <t>YD-103</t>
  </si>
  <si>
    <t>YD-102</t>
  </si>
  <si>
    <t>YD-105</t>
  </si>
  <si>
    <t>YD-93</t>
  </si>
  <si>
    <t>YD-109</t>
  </si>
  <si>
    <t>YD-108</t>
  </si>
  <si>
    <t>YD-77</t>
  </si>
  <si>
    <t>YD-108x</t>
  </si>
  <si>
    <t>YD-107</t>
  </si>
  <si>
    <t>&lt;0.006</t>
  </si>
  <si>
    <t>YD-201</t>
  </si>
  <si>
    <t>YD-Z3</t>
  </si>
  <si>
    <t>YD-Z5</t>
  </si>
  <si>
    <t>YD-Z4</t>
  </si>
  <si>
    <t>YD-Z2</t>
  </si>
  <si>
    <t>YD-Z6</t>
  </si>
  <si>
    <t>YD-Z7</t>
  </si>
  <si>
    <t>YD-Z8</t>
  </si>
  <si>
    <t>Bottle fraction (1L)</t>
  </si>
  <si>
    <t>Drip Rate (min/drop)</t>
  </si>
  <si>
    <t>Total  volume recorded</t>
  </si>
  <si>
    <t>Drip interval (min:sec)</t>
  </si>
  <si>
    <t>Drip interval (s)</t>
  </si>
  <si>
    <t>Total #drips per week</t>
  </si>
  <si>
    <t>Total discharge per week (ml)</t>
  </si>
  <si>
    <t>Tot discharge estimated from bottles (ml)</t>
  </si>
  <si>
    <t>Site - 2a</t>
  </si>
  <si>
    <t>Drip interval time (min:sec)</t>
  </si>
  <si>
    <t xml:space="preserve">Drip interval (sec) </t>
  </si>
  <si>
    <t>Total #drips since last collection</t>
  </si>
  <si>
    <t>Total discharge per week estimated from the bottles (ml)</t>
  </si>
  <si>
    <t>Total discharge / week (ml)</t>
  </si>
  <si>
    <t>PRECIP</t>
  </si>
  <si>
    <t>HEP</t>
  </si>
  <si>
    <t>Month</t>
  </si>
  <si>
    <t>Mean monthly HEP</t>
  </si>
  <si>
    <t>Date_AWAP</t>
  </si>
  <si>
    <t>CUMSUM Precip - FEW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</si>
  <si>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</si>
  <si>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</si>
  <si>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</si>
  <si>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</si>
  <si>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</si>
  <si>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</si>
  <si>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</si>
  <si>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</si>
  <si>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</si>
  <si>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</si>
  <si>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</si>
  <si>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</si>
  <si>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Median</t>
  </si>
  <si>
    <t>Sd</t>
  </si>
  <si>
    <t>Median ml/wk</t>
  </si>
  <si>
    <t>median ml/day</t>
  </si>
  <si>
    <t>Sd ml/day</t>
  </si>
  <si>
    <t>median</t>
  </si>
  <si>
    <t>sd</t>
  </si>
  <si>
    <t>/wk</t>
  </si>
  <si>
    <t>/day</t>
  </si>
  <si>
    <t>stdev</t>
  </si>
  <si>
    <t>FEW/AET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</si>
</sst>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d/m/yy;@"/>
  </numFmts>
  <fonts count="16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1"/>
      <color rgb="FF0000FF"/>
      <name val="Calibri"/>
      <family val="2"/>
      <scheme val="minor"/>
    </font>
    <font>
      <sz val="10"/>
      <name val="Verdana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Calibri"/>
      <family val="2"/>
    </font>
    <font>
      <sz val="9"/>
      <color indexed="81"/>
      <name val="Calibri"/>
      <family val="2"/>
    </font>
    <font>
      <sz val="12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9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4" fillId="0" borderId="0"/>
    <xf numFmtId="0" fontId="7" fillId="0" borderId="0"/>
  </cellStyleXfs>
  <cellXfs count="87">
    <xf numFmtId="0" fontId="0" fillId="0" borderId="0" xfId="0"/>
    <xf numFmtId="14" fontId="0" fillId="2" borderId="0" xfId="0" applyNumberFormat="1" applyFill="1"/>
    <xf numFmtId="0" fontId="0" fillId="3" borderId="0" xfId="0" applyFill="1"/>
    <xf numFmtId="0" fontId="0" fillId="4" borderId="0" xfId="0" applyFill="1"/>
    <xf numFmtId="14" fontId="3" fillId="2" borderId="0" xfId="0" applyNumberFormat="1" applyFont="1" applyFill="1"/>
    <xf numFmtId="14" fontId="3" fillId="0" borderId="0" xfId="0" applyNumberFormat="1" applyFont="1"/>
    <xf numFmtId="0" fontId="5" fillId="0" borderId="0" xfId="0" applyFont="1"/>
    <xf numFmtId="0" fontId="0" fillId="0" borderId="2" xfId="0" applyBorder="1"/>
    <xf numFmtId="0" fontId="0" fillId="0" borderId="3" xfId="0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0" fillId="0" borderId="5" xfId="0" applyFill="1" applyBorder="1"/>
    <xf numFmtId="0" fontId="0" fillId="5" borderId="0" xfId="0" applyFill="1"/>
    <xf numFmtId="0" fontId="6" fillId="5" borderId="0" xfId="0" applyFont="1" applyFill="1"/>
    <xf numFmtId="0" fontId="7" fillId="6" borderId="0" xfId="5" applyFill="1"/>
    <xf numFmtId="164" fontId="2" fillId="9" borderId="8" xfId="0" applyNumberFormat="1" applyFont="1" applyFill="1" applyBorder="1" applyAlignment="1">
      <alignment horizontal="center" vertical="top" wrapText="1"/>
    </xf>
    <xf numFmtId="164" fontId="2" fillId="10" borderId="9" xfId="0" applyNumberFormat="1" applyFont="1" applyFill="1" applyBorder="1" applyAlignment="1">
      <alignment horizontal="center" vertical="top" wrapText="1"/>
    </xf>
    <xf numFmtId="164" fontId="2" fillId="9" borderId="9" xfId="0" applyNumberFormat="1" applyFont="1" applyFill="1" applyBorder="1" applyAlignment="1">
      <alignment horizontal="center" vertical="top" wrapText="1"/>
    </xf>
    <xf numFmtId="2" fontId="10" fillId="6" borderId="0" xfId="5" applyNumberFormat="1" applyFont="1" applyFill="1"/>
    <xf numFmtId="0" fontId="0" fillId="11" borderId="0" xfId="0" applyFill="1"/>
    <xf numFmtId="0" fontId="0" fillId="12" borderId="0" xfId="0" applyFill="1"/>
    <xf numFmtId="2" fontId="0" fillId="4" borderId="0" xfId="0" applyNumberFormat="1" applyFill="1"/>
    <xf numFmtId="1" fontId="2" fillId="4" borderId="0" xfId="2" applyNumberFormat="1" applyFill="1" applyAlignment="1">
      <alignment horizontal="center"/>
    </xf>
    <xf numFmtId="164" fontId="2" fillId="4" borderId="0" xfId="2" applyNumberFormat="1" applyFill="1" applyAlignment="1">
      <alignment horizontal="center"/>
    </xf>
    <xf numFmtId="164" fontId="1" fillId="4" borderId="0" xfId="0" applyNumberFormat="1" applyFont="1" applyFill="1" applyBorder="1" applyAlignment="1" applyProtection="1">
      <alignment horizontal="center"/>
    </xf>
    <xf numFmtId="14" fontId="0" fillId="0" borderId="0" xfId="0" applyNumberFormat="1"/>
    <xf numFmtId="0" fontId="6" fillId="2" borderId="0" xfId="0" applyFont="1" applyFill="1"/>
    <xf numFmtId="0" fontId="6" fillId="6" borderId="0" xfId="0" applyFont="1" applyFill="1"/>
    <xf numFmtId="0" fontId="6" fillId="4" borderId="0" xfId="0" applyFont="1" applyFill="1"/>
    <xf numFmtId="0" fontId="6" fillId="3" borderId="0" xfId="0" applyFont="1" applyFill="1"/>
    <xf numFmtId="0" fontId="6" fillId="0" borderId="0" xfId="0" applyFont="1"/>
    <xf numFmtId="0" fontId="6" fillId="11" borderId="0" xfId="0" applyFont="1" applyFill="1"/>
    <xf numFmtId="0" fontId="0" fillId="0" borderId="0" xfId="0" applyFont="1"/>
    <xf numFmtId="0" fontId="6" fillId="3" borderId="0" xfId="1" applyFont="1" applyFill="1"/>
    <xf numFmtId="0" fontId="6" fillId="4" borderId="0" xfId="0" applyFont="1" applyFill="1" applyBorder="1" applyAlignment="1">
      <alignment horizontal="center" vertical="top"/>
    </xf>
    <xf numFmtId="0" fontId="6" fillId="3" borderId="0" xfId="0" applyFont="1" applyFill="1" applyBorder="1" applyAlignment="1">
      <alignment horizontal="center" vertical="top"/>
    </xf>
    <xf numFmtId="0" fontId="6" fillId="3" borderId="0" xfId="0" applyFont="1" applyFill="1" applyAlignment="1">
      <alignment horizontal="center" vertical="top"/>
    </xf>
    <xf numFmtId="14" fontId="6" fillId="2" borderId="0" xfId="0" applyNumberFormat="1" applyFont="1" applyFill="1"/>
    <xf numFmtId="0" fontId="6" fillId="3" borderId="0" xfId="0" applyFont="1" applyFill="1" applyAlignment="1">
      <alignment horizontal="center"/>
    </xf>
    <xf numFmtId="2" fontId="6" fillId="6" borderId="0" xfId="5" applyNumberFormat="1" applyFont="1" applyFill="1"/>
    <xf numFmtId="2" fontId="6" fillId="4" borderId="0" xfId="0" applyNumberFormat="1" applyFont="1" applyFill="1"/>
    <xf numFmtId="1" fontId="6" fillId="4" borderId="0" xfId="0" applyNumberFormat="1" applyFont="1" applyFill="1" applyBorder="1" applyAlignment="1" applyProtection="1">
      <alignment horizontal="center"/>
    </xf>
    <xf numFmtId="2" fontId="6" fillId="4" borderId="0" xfId="0" applyNumberFormat="1" applyFont="1" applyFill="1" applyBorder="1" applyAlignment="1" applyProtection="1">
      <alignment horizontal="center"/>
    </xf>
    <xf numFmtId="164" fontId="6" fillId="4" borderId="0" xfId="0" applyNumberFormat="1" applyFont="1" applyFill="1" applyBorder="1" applyAlignment="1" applyProtection="1">
      <alignment horizontal="center"/>
    </xf>
    <xf numFmtId="164" fontId="6" fillId="3" borderId="0" xfId="0" applyNumberFormat="1" applyFont="1" applyFill="1" applyAlignment="1">
      <alignment horizontal="center"/>
    </xf>
    <xf numFmtId="1" fontId="6" fillId="4" borderId="0" xfId="3" applyNumberFormat="1" applyFont="1" applyFill="1" applyAlignment="1">
      <alignment horizontal="center"/>
    </xf>
    <xf numFmtId="165" fontId="6" fillId="3" borderId="0" xfId="0" applyNumberFormat="1" applyFont="1" applyFill="1" applyAlignment="1">
      <alignment horizontal="center"/>
    </xf>
    <xf numFmtId="0" fontId="6" fillId="3" borderId="0" xfId="0" applyFont="1" applyFill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0" borderId="0" xfId="4" applyFont="1"/>
    <xf numFmtId="0" fontId="6" fillId="8" borderId="0" xfId="0" applyFont="1" applyFill="1" applyAlignment="1">
      <alignment horizontal="center" vertical="center" wrapText="1"/>
    </xf>
    <xf numFmtId="0" fontId="0" fillId="4" borderId="0" xfId="0" applyFont="1" applyFill="1"/>
    <xf numFmtId="14" fontId="6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3" borderId="0" xfId="0" applyFont="1" applyFill="1"/>
    <xf numFmtId="0" fontId="0" fillId="11" borderId="0" xfId="0" applyFont="1" applyFill="1"/>
    <xf numFmtId="0" fontId="0" fillId="2" borderId="0" xfId="0" applyFont="1" applyFill="1"/>
    <xf numFmtId="0" fontId="0" fillId="6" borderId="0" xfId="0" applyFont="1" applyFill="1"/>
    <xf numFmtId="0" fontId="0" fillId="5" borderId="0" xfId="0" applyFont="1" applyFill="1"/>
    <xf numFmtId="0" fontId="0" fillId="12" borderId="0" xfId="0" applyFont="1" applyFill="1"/>
    <xf numFmtId="0" fontId="6" fillId="11" borderId="0" xfId="0" applyFont="1" applyFill="1" applyBorder="1" applyAlignment="1">
      <alignment horizontal="center" vertical="top"/>
    </xf>
    <xf numFmtId="0" fontId="6" fillId="12" borderId="0" xfId="0" applyFont="1" applyFill="1" applyBorder="1" applyAlignment="1">
      <alignment horizontal="center" vertical="top"/>
    </xf>
    <xf numFmtId="14" fontId="0" fillId="2" borderId="0" xfId="0" applyNumberFormat="1" applyFont="1" applyFill="1"/>
    <xf numFmtId="0" fontId="0" fillId="6" borderId="0" xfId="5" applyFont="1" applyFill="1"/>
    <xf numFmtId="0" fontId="0" fillId="3" borderId="0" xfId="0" applyFont="1" applyFill="1" applyAlignment="1">
      <alignment horizontal="center"/>
    </xf>
    <xf numFmtId="2" fontId="0" fillId="4" borderId="0" xfId="0" applyNumberFormat="1" applyFont="1" applyFill="1"/>
    <xf numFmtId="164" fontId="0" fillId="3" borderId="0" xfId="0" applyNumberFormat="1" applyFont="1" applyFill="1" applyAlignment="1">
      <alignment horizontal="center"/>
    </xf>
    <xf numFmtId="1" fontId="6" fillId="4" borderId="0" xfId="2" applyNumberFormat="1" applyFont="1" applyFill="1" applyAlignment="1">
      <alignment horizontal="center"/>
    </xf>
    <xf numFmtId="164" fontId="6" fillId="4" borderId="0" xfId="2" applyNumberFormat="1" applyFont="1" applyFill="1" applyAlignment="1">
      <alignment horizontal="center"/>
    </xf>
    <xf numFmtId="1" fontId="6" fillId="5" borderId="0" xfId="2" applyNumberFormat="1" applyFont="1" applyFill="1" applyAlignment="1">
      <alignment horizontal="center"/>
    </xf>
    <xf numFmtId="14" fontId="0" fillId="4" borderId="0" xfId="0" applyNumberFormat="1" applyFont="1" applyFill="1"/>
    <xf numFmtId="14" fontId="0" fillId="0" borderId="0" xfId="0" applyNumberFormat="1" applyFont="1"/>
    <xf numFmtId="0" fontId="6" fillId="4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13" borderId="0" xfId="0" applyFont="1" applyFill="1"/>
    <xf numFmtId="164" fontId="6" fillId="13" borderId="8" xfId="0" applyNumberFormat="1" applyFont="1" applyFill="1" applyBorder="1" applyAlignment="1">
      <alignment horizontal="center" vertical="top" wrapText="1"/>
    </xf>
    <xf numFmtId="164" fontId="6" fillId="13" borderId="9" xfId="0" applyNumberFormat="1" applyFont="1" applyFill="1" applyBorder="1" applyAlignment="1">
      <alignment horizontal="center" vertical="top" wrapText="1"/>
    </xf>
    <xf numFmtId="0" fontId="0" fillId="13" borderId="0" xfId="0" applyFont="1" applyFill="1"/>
    <xf numFmtId="0" fontId="0" fillId="13" borderId="0" xfId="0" applyFill="1"/>
    <xf numFmtId="0" fontId="2" fillId="5" borderId="0" xfId="2" applyNumberFormat="1" applyFill="1" applyAlignment="1">
      <alignment horizontal="right"/>
    </xf>
    <xf numFmtId="0" fontId="1" fillId="4" borderId="0" xfId="0" applyFont="1" applyFill="1" applyBorder="1" applyAlignment="1">
      <alignment horizontal="center" vertical="top"/>
    </xf>
    <xf numFmtId="0" fontId="15" fillId="0" borderId="0" xfId="0" applyFont="1"/>
    <xf numFmtId="0" fontId="6" fillId="7" borderId="0" xfId="0" applyFont="1" applyFill="1"/>
    <xf numFmtId="166" fontId="0" fillId="0" borderId="0" xfId="0" applyNumberFormat="1"/>
  </cellXfs>
  <cellStyles count="6">
    <cellStyle name="Normal" xfId="0" builtinId="0"/>
    <cellStyle name="Normal 2" xfId="2"/>
    <cellStyle name="Normal 3" xfId="5"/>
    <cellStyle name="Normal 4" xfId="4"/>
    <cellStyle name="Normal 5" xfId="3"/>
    <cellStyle name="Normal_2009-0053A,05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'[1]Site _1a_PT'!$F$2</c:f>
              <c:strCache>
                <c:ptCount val="1"/>
                <c:pt idx="0">
                  <c:v>Total discharge per week (ml)</c:v>
                </c:pt>
              </c:strCache>
            </c:strRef>
          </c:tx>
          <c:spPr>
            <a:ln w="31750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8930205599300099"/>
                  <c:y val="-0.12762540099154299"/>
                </c:manualLayout>
              </c:layout>
              <c:numFmt formatCode="General" sourceLinked="0"/>
            </c:trendlineLbl>
          </c:trendline>
          <c:xVal>
            <c:numRef>
              <c:f>'[1]Site _1a_PT'!$B$4:$B$12</c:f>
              <c:numCache>
                <c:formatCode>General</c:formatCode>
                <c:ptCount val="9"/>
                <c:pt idx="0">
                  <c:v>0.5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0.8</c:v>
                </c:pt>
                <c:pt idx="6">
                  <c:v>0.75</c:v>
                </c:pt>
                <c:pt idx="7">
                  <c:v>0.5</c:v>
                </c:pt>
                <c:pt idx="8">
                  <c:v>0.75</c:v>
                </c:pt>
              </c:numCache>
            </c:numRef>
          </c:xVal>
          <c:yVal>
            <c:numRef>
              <c:f>'[1]Site _1a_PT'!$F$4:$F$12</c:f>
              <c:numCache>
                <c:formatCode>General</c:formatCode>
                <c:ptCount val="9"/>
                <c:pt idx="0">
                  <c:v>48.687523558235952</c:v>
                </c:pt>
                <c:pt idx="1">
                  <c:v>117.67283493708364</c:v>
                </c:pt>
                <c:pt idx="2">
                  <c:v>106.72395273899035</c:v>
                </c:pt>
                <c:pt idx="3">
                  <c:v>81.264994547437297</c:v>
                </c:pt>
                <c:pt idx="4">
                  <c:v>86.662613981762917</c:v>
                </c:pt>
                <c:pt idx="5">
                  <c:v>105.14285714285715</c:v>
                </c:pt>
                <c:pt idx="6">
                  <c:v>77.345250108115906</c:v>
                </c:pt>
                <c:pt idx="7">
                  <c:v>97.221135029354201</c:v>
                </c:pt>
                <c:pt idx="8">
                  <c:v>76.017411950929954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0B-41EB-8A31-BB27D3AA1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87232"/>
        <c:axId val="117487808"/>
      </c:scatterChart>
      <c:valAx>
        <c:axId val="11748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7487808"/>
        <c:crosses val="autoZero"/>
        <c:crossBetween val="midCat"/>
      </c:valAx>
      <c:valAx>
        <c:axId val="11748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7487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Total discharge per</a:t>
            </a:r>
            <a:r>
              <a:rPr lang="en-AU" baseline="0"/>
              <a:t> week </a:t>
            </a:r>
            <a:r>
              <a:rPr lang="en-AU"/>
              <a:t>(ml)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[1]Site_2a_new!$F$12:$F$13</c:f>
              <c:strCache>
                <c:ptCount val="1"/>
                <c:pt idx="0">
                  <c:v>50.03861004 42.56157635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[1]Site_2a_new!$B$14:$B$20</c:f>
              <c:numCache>
                <c:formatCode>General</c:formatCode>
                <c:ptCount val="7"/>
                <c:pt idx="0">
                  <c:v>0.33333333333333331</c:v>
                </c:pt>
                <c:pt idx="2">
                  <c:v>0.25</c:v>
                </c:pt>
                <c:pt idx="3">
                  <c:v>0.25</c:v>
                </c:pt>
                <c:pt idx="6">
                  <c:v>0.2</c:v>
                </c:pt>
              </c:numCache>
            </c:numRef>
          </c:xVal>
          <c:yVal>
            <c:numRef>
              <c:f>[1]Site_2a_new!$F$14:$F$20</c:f>
              <c:numCache>
                <c:formatCode>General</c:formatCode>
                <c:ptCount val="7"/>
                <c:pt idx="0">
                  <c:v>43.593193510091012</c:v>
                </c:pt>
                <c:pt idx="1">
                  <c:v>33.971166448230669</c:v>
                </c:pt>
                <c:pt idx="2">
                  <c:v>30.820451843043994</c:v>
                </c:pt>
                <c:pt idx="3">
                  <c:v>31.469040874140024</c:v>
                </c:pt>
                <c:pt idx="4">
                  <c:v>35.265306122448976</c:v>
                </c:pt>
                <c:pt idx="6">
                  <c:v>22.194947909233623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72-4FB9-B190-71A8A69EA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71840"/>
        <c:axId val="119972416"/>
      </c:scatterChart>
      <c:valAx>
        <c:axId val="119971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972416"/>
        <c:crosses val="autoZero"/>
        <c:crossBetween val="midCat"/>
      </c:valAx>
      <c:valAx>
        <c:axId val="11997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971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Total</a:t>
            </a:r>
            <a:r>
              <a:rPr lang="en-AU" baseline="0"/>
              <a:t> discharge </a:t>
            </a:r>
            <a:endParaRPr lang="en-AU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[1]Site_2a_new!$F$1</c:f>
              <c:strCache>
                <c:ptCount val="1"/>
                <c:pt idx="0">
                  <c:v>Total discharge per week (ml)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[1]Site_2a_new!$F$2:$F$49</c:f>
              <c:numCache>
                <c:formatCode>General</c:formatCode>
                <c:ptCount val="48"/>
                <c:pt idx="10">
                  <c:v>50.038610038610038</c:v>
                </c:pt>
                <c:pt idx="11">
                  <c:v>42.561576354679808</c:v>
                </c:pt>
                <c:pt idx="12">
                  <c:v>43.593193510091012</c:v>
                </c:pt>
                <c:pt idx="13">
                  <c:v>33.971166448230669</c:v>
                </c:pt>
                <c:pt idx="14">
                  <c:v>30.820451843043994</c:v>
                </c:pt>
                <c:pt idx="15">
                  <c:v>31.469040874140024</c:v>
                </c:pt>
                <c:pt idx="16">
                  <c:v>35.265306122448976</c:v>
                </c:pt>
                <c:pt idx="18">
                  <c:v>22.194947909233623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D9-4EB1-B23E-93FE0C132FBE}"/>
            </c:ext>
          </c:extLst>
        </c:ser>
        <c:ser>
          <c:idx val="1"/>
          <c:order val="1"/>
          <c:tx>
            <c:strRef>
              <c:f>[1]Site_2a_new!$G$1</c:f>
              <c:strCache>
                <c:ptCount val="1"/>
                <c:pt idx="0">
                  <c:v>Total discharge per week estimated from the bottles (ml)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[1]Site_2a_new!$G$2:$G$49</c:f>
              <c:numCache>
                <c:formatCode>General</c:formatCode>
                <c:ptCount val="48"/>
                <c:pt idx="0">
                  <c:v>70.39500000000001</c:v>
                </c:pt>
                <c:pt idx="1">
                  <c:v>110.09500000000001</c:v>
                </c:pt>
                <c:pt idx="2">
                  <c:v>118.03500000000003</c:v>
                </c:pt>
                <c:pt idx="3">
                  <c:v>70.39500000000001</c:v>
                </c:pt>
                <c:pt idx="4">
                  <c:v>110.09500000000001</c:v>
                </c:pt>
                <c:pt idx="5">
                  <c:v>70.39500000000001</c:v>
                </c:pt>
                <c:pt idx="6">
                  <c:v>70.39500000000001</c:v>
                </c:pt>
                <c:pt idx="7">
                  <c:v>118.03500000000003</c:v>
                </c:pt>
                <c:pt idx="8">
                  <c:v>38.634999999999998</c:v>
                </c:pt>
                <c:pt idx="12">
                  <c:v>43.928333333333335</c:v>
                </c:pt>
                <c:pt idx="14">
                  <c:v>30.695</c:v>
                </c:pt>
                <c:pt idx="15">
                  <c:v>30.695</c:v>
                </c:pt>
                <c:pt idx="18">
                  <c:v>22.755000000000003</c:v>
                </c:pt>
                <c:pt idx="19">
                  <c:v>22.755000000000003</c:v>
                </c:pt>
                <c:pt idx="20">
                  <c:v>22.755000000000003</c:v>
                </c:pt>
                <c:pt idx="21">
                  <c:v>22.755000000000003</c:v>
                </c:pt>
                <c:pt idx="22">
                  <c:v>6.8750000000000018</c:v>
                </c:pt>
                <c:pt idx="23">
                  <c:v>10.845000000000001</c:v>
                </c:pt>
                <c:pt idx="24">
                  <c:v>30.695</c:v>
                </c:pt>
                <c:pt idx="25">
                  <c:v>22.755000000000003</c:v>
                </c:pt>
                <c:pt idx="26">
                  <c:v>22.755000000000003</c:v>
                </c:pt>
                <c:pt idx="27">
                  <c:v>43.928333333333335</c:v>
                </c:pt>
                <c:pt idx="28">
                  <c:v>43.928333333333335</c:v>
                </c:pt>
                <c:pt idx="29">
                  <c:v>70.39500000000001</c:v>
                </c:pt>
                <c:pt idx="30">
                  <c:v>43.399000000000001</c:v>
                </c:pt>
                <c:pt idx="31">
                  <c:v>70.39500000000001</c:v>
                </c:pt>
                <c:pt idx="32">
                  <c:v>43.399000000000001</c:v>
                </c:pt>
                <c:pt idx="33">
                  <c:v>30.695</c:v>
                </c:pt>
                <c:pt idx="34">
                  <c:v>30.695</c:v>
                </c:pt>
                <c:pt idx="37">
                  <c:v>70.39500000000001</c:v>
                </c:pt>
                <c:pt idx="38">
                  <c:v>118.03500000000003</c:v>
                </c:pt>
                <c:pt idx="39">
                  <c:v>110.09500000000001</c:v>
                </c:pt>
                <c:pt idx="40">
                  <c:v>43.399000000000001</c:v>
                </c:pt>
                <c:pt idx="41">
                  <c:v>110.09500000000001</c:v>
                </c:pt>
                <c:pt idx="42">
                  <c:v>110.09500000000001</c:v>
                </c:pt>
                <c:pt idx="43">
                  <c:v>70.39500000000001</c:v>
                </c:pt>
                <c:pt idx="44">
                  <c:v>50.545000000000002</c:v>
                </c:pt>
                <c:pt idx="45">
                  <c:v>30.695</c:v>
                </c:pt>
                <c:pt idx="46">
                  <c:v>22.755000000000003</c:v>
                </c:pt>
                <c:pt idx="47">
                  <c:v>17.991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D9-4EB1-B23E-93FE0C132F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958592"/>
        <c:axId val="119974144"/>
      </c:lineChart>
      <c:catAx>
        <c:axId val="1189585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974144"/>
        <c:crosses val="autoZero"/>
        <c:auto val="1"/>
        <c:lblAlgn val="ctr"/>
        <c:lblOffset val="100"/>
        <c:noMultiLvlLbl val="0"/>
      </c:catAx>
      <c:valAx>
        <c:axId val="11997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8958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</xdr:row>
      <xdr:rowOff>0</xdr:rowOff>
    </xdr:from>
    <xdr:to>
      <xdr:col>15</xdr:col>
      <xdr:colOff>533400</xdr:colOff>
      <xdr:row>21</xdr:row>
      <xdr:rowOff>44450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1261110</xdr:colOff>
      <xdr:row>4</xdr:row>
      <xdr:rowOff>57150</xdr:rowOff>
    </xdr:from>
    <xdr:to>
      <xdr:col>6</xdr:col>
      <xdr:colOff>529590</xdr:colOff>
      <xdr:row>20</xdr:row>
      <xdr:rowOff>148590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137160</xdr:colOff>
      <xdr:row>11</xdr:row>
      <xdr:rowOff>83820</xdr:rowOff>
    </xdr:from>
    <xdr:to>
      <xdr:col>16</xdr:col>
      <xdr:colOff>198120</xdr:colOff>
      <xdr:row>26</xdr:row>
      <xdr:rowOff>144780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8</xdr:row>
      <xdr:rowOff>175260</xdr:rowOff>
    </xdr:from>
    <xdr:to>
      <xdr:col>22</xdr:col>
      <xdr:colOff>105925</xdr:colOff>
      <xdr:row>24</xdr:row>
      <xdr:rowOff>114548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64730" y="1638300"/>
          <a:ext cx="8876545" cy="28653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io/Desktop/ANSTO%20project/YD%20Cave%20data/Drip_interval_calculation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e _1a_PT"/>
      <sheetName val="Site_2a_new"/>
    </sheetNames>
    <sheetDataSet>
      <sheetData sheetId="0">
        <row r="2">
          <cell r="F2" t="str">
            <v>Total discharge per week (ml)</v>
          </cell>
        </row>
        <row r="4">
          <cell r="B4">
            <v>0.5</v>
          </cell>
          <cell r="F4">
            <v>48.687523558235952</v>
          </cell>
        </row>
        <row r="5">
          <cell r="B5">
            <v>1</v>
          </cell>
          <cell r="F5">
            <v>117.67283493708364</v>
          </cell>
        </row>
        <row r="6">
          <cell r="B6">
            <v>1</v>
          </cell>
          <cell r="F6">
            <v>106.72395273899035</v>
          </cell>
        </row>
        <row r="7">
          <cell r="B7">
            <v>1</v>
          </cell>
          <cell r="F7">
            <v>81.264994547437297</v>
          </cell>
        </row>
        <row r="8">
          <cell r="B8">
            <v>1</v>
          </cell>
          <cell r="F8">
            <v>86.662613981762917</v>
          </cell>
        </row>
        <row r="9">
          <cell r="B9">
            <v>0.8</v>
          </cell>
          <cell r="F9">
            <v>105.14285714285715</v>
          </cell>
        </row>
        <row r="10">
          <cell r="B10">
            <v>0.75</v>
          </cell>
          <cell r="F10">
            <v>77.345250108115906</v>
          </cell>
        </row>
        <row r="11">
          <cell r="B11">
            <v>0.5</v>
          </cell>
          <cell r="F11">
            <v>97.221135029354201</v>
          </cell>
        </row>
        <row r="12">
          <cell r="B12">
            <v>0.75</v>
          </cell>
          <cell r="F12">
            <v>76.017411950929954</v>
          </cell>
        </row>
      </sheetData>
      <sheetData sheetId="1">
        <row r="1">
          <cell r="F1" t="str">
            <v>Total discharge per week (ml)</v>
          </cell>
          <cell r="G1" t="str">
            <v>Total discharge per week estimated from the bottles (ml)</v>
          </cell>
        </row>
        <row r="2">
          <cell r="G2">
            <v>70.39500000000001</v>
          </cell>
        </row>
        <row r="3">
          <cell r="G3">
            <v>110.09500000000001</v>
          </cell>
        </row>
        <row r="4">
          <cell r="G4">
            <v>118.03500000000003</v>
          </cell>
        </row>
        <row r="5">
          <cell r="G5">
            <v>70.39500000000001</v>
          </cell>
        </row>
        <row r="6">
          <cell r="G6">
            <v>110.09500000000001</v>
          </cell>
        </row>
        <row r="7">
          <cell r="G7">
            <v>70.39500000000001</v>
          </cell>
        </row>
        <row r="8">
          <cell r="G8">
            <v>70.39500000000001</v>
          </cell>
        </row>
        <row r="9">
          <cell r="G9">
            <v>118.03500000000003</v>
          </cell>
        </row>
        <row r="10">
          <cell r="G10">
            <v>38.634999999999998</v>
          </cell>
        </row>
        <row r="12">
          <cell r="F12">
            <v>50.038610038610038</v>
          </cell>
        </row>
        <row r="13">
          <cell r="F13">
            <v>42.561576354679808</v>
          </cell>
        </row>
        <row r="14">
          <cell r="B14">
            <v>0.33333333333333331</v>
          </cell>
          <cell r="F14">
            <v>43.593193510091012</v>
          </cell>
          <cell r="G14">
            <v>43.928333333333335</v>
          </cell>
        </row>
        <row r="15">
          <cell r="B15"/>
          <cell r="F15">
            <v>33.971166448230669</v>
          </cell>
        </row>
        <row r="16">
          <cell r="B16">
            <v>0.25</v>
          </cell>
          <cell r="F16">
            <v>30.820451843043994</v>
          </cell>
          <cell r="G16">
            <v>30.695</v>
          </cell>
        </row>
        <row r="17">
          <cell r="B17">
            <v>0.25</v>
          </cell>
          <cell r="F17">
            <v>31.469040874140024</v>
          </cell>
          <cell r="G17">
            <v>30.695</v>
          </cell>
        </row>
        <row r="18">
          <cell r="B18"/>
          <cell r="F18">
            <v>35.265306122448976</v>
          </cell>
        </row>
        <row r="19">
          <cell r="B19"/>
        </row>
        <row r="20">
          <cell r="B20">
            <v>0.2</v>
          </cell>
          <cell r="F20">
            <v>22.194947909233623</v>
          </cell>
          <cell r="G20">
            <v>22.755000000000003</v>
          </cell>
        </row>
        <row r="21">
          <cell r="G21">
            <v>22.755000000000003</v>
          </cell>
        </row>
        <row r="22">
          <cell r="G22">
            <v>22.755000000000003</v>
          </cell>
        </row>
        <row r="23">
          <cell r="G23">
            <v>22.755000000000003</v>
          </cell>
        </row>
        <row r="24">
          <cell r="G24">
            <v>6.8750000000000018</v>
          </cell>
        </row>
        <row r="25">
          <cell r="G25">
            <v>10.845000000000001</v>
          </cell>
        </row>
        <row r="26">
          <cell r="G26">
            <v>30.695</v>
          </cell>
        </row>
        <row r="27">
          <cell r="G27">
            <v>22.755000000000003</v>
          </cell>
        </row>
        <row r="28">
          <cell r="G28">
            <v>22.755000000000003</v>
          </cell>
        </row>
        <row r="29">
          <cell r="G29">
            <v>43.928333333333335</v>
          </cell>
        </row>
        <row r="30">
          <cell r="G30">
            <v>43.928333333333335</v>
          </cell>
        </row>
        <row r="31">
          <cell r="G31">
            <v>70.39500000000001</v>
          </cell>
        </row>
        <row r="32">
          <cell r="G32">
            <v>43.399000000000001</v>
          </cell>
        </row>
        <row r="33">
          <cell r="G33">
            <v>70.39500000000001</v>
          </cell>
        </row>
        <row r="34">
          <cell r="G34">
            <v>43.399000000000001</v>
          </cell>
        </row>
        <row r="35">
          <cell r="G35">
            <v>30.695</v>
          </cell>
        </row>
        <row r="36">
          <cell r="G36">
            <v>30.695</v>
          </cell>
        </row>
        <row r="39">
          <cell r="G39">
            <v>70.39500000000001</v>
          </cell>
        </row>
        <row r="40">
          <cell r="G40">
            <v>118.03500000000003</v>
          </cell>
        </row>
        <row r="41">
          <cell r="G41">
            <v>110.09500000000001</v>
          </cell>
        </row>
        <row r="42">
          <cell r="G42">
            <v>43.399000000000001</v>
          </cell>
        </row>
        <row r="43">
          <cell r="G43">
            <v>110.09500000000001</v>
          </cell>
        </row>
        <row r="44">
          <cell r="G44">
            <v>110.09500000000001</v>
          </cell>
        </row>
        <row r="45">
          <cell r="G45">
            <v>70.39500000000001</v>
          </cell>
        </row>
        <row r="46">
          <cell r="G46">
            <v>50.545000000000002</v>
          </cell>
        </row>
        <row r="47">
          <cell r="G47">
            <v>30.695</v>
          </cell>
        </row>
        <row r="48">
          <cell r="G48">
            <v>22.755000000000003</v>
          </cell>
        </row>
        <row r="49">
          <cell r="G49">
            <v>17.991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4"/>
  <sheetViews>
    <sheetView topLeftCell="Q1" zoomScaleNormal="100" workbookViewId="0">
      <selection activeCell="I8" sqref="I8"/>
    </sheetView>
  </sheetViews>
  <sheetFormatPr defaultColWidth="8.83984375" defaultRowHeight="14.4" x14ac:dyDescent="0.55000000000000004"/>
  <cols>
    <col min="1" max="1" width="19.83984375" bestFit="1" customWidth="1"/>
    <col min="2" max="2" width="13.15625" customWidth="1"/>
    <col min="3" max="3" width="16.83984375" customWidth="1"/>
    <col min="4" max="4" width="11.26171875" style="2" hidden="1" customWidth="1"/>
    <col min="5" max="5" width="26.41796875" style="2" customWidth="1"/>
    <col min="6" max="6" width="12" style="2" customWidth="1"/>
    <col min="7" max="7" width="12.41796875" style="2" customWidth="1"/>
    <col min="8" max="8" width="13.41796875" style="2" customWidth="1"/>
    <col min="9" max="9" width="12.41796875" style="2" customWidth="1"/>
    <col min="10" max="10" width="13.68359375" style="2" customWidth="1"/>
    <col min="11" max="11" width="14.15625" style="3" customWidth="1"/>
    <col min="12" max="12" width="13.41796875" style="3" customWidth="1"/>
    <col min="13" max="13" width="10.41796875" style="3" bestFit="1" customWidth="1"/>
    <col min="14" max="14" width="10.41796875" style="3" customWidth="1"/>
    <col min="15" max="15" width="18.15625" style="12" bestFit="1" customWidth="1"/>
    <col min="16" max="16" width="19" style="12" customWidth="1"/>
    <col min="17" max="17" width="22.578125" customWidth="1"/>
    <col min="18" max="18" width="14.15625" customWidth="1"/>
    <col min="19" max="19" width="12.41796875" customWidth="1"/>
    <col min="20" max="20" width="13.15625" customWidth="1"/>
    <col min="21" max="21" width="14.26171875" customWidth="1"/>
    <col min="22" max="22" width="12.26171875" customWidth="1"/>
    <col min="23" max="23" width="12.83984375" customWidth="1"/>
    <col min="24" max="24" width="11" style="19" customWidth="1"/>
    <col min="25" max="25" width="8.83984375" style="19"/>
    <col min="26" max="26" width="11.26171875" style="19" customWidth="1"/>
    <col min="27" max="27" width="12.15625" style="20" customWidth="1"/>
    <col min="28" max="28" width="14.83984375" style="20" customWidth="1"/>
    <col min="29" max="29" width="16.15625" style="20" customWidth="1"/>
    <col min="30" max="30" width="12.15625" customWidth="1"/>
    <col min="31" max="31" width="15" customWidth="1"/>
    <col min="32" max="32" width="11" customWidth="1"/>
    <col min="33" max="33" width="12.68359375" customWidth="1"/>
  </cols>
  <sheetData>
    <row r="1" spans="1:33" x14ac:dyDescent="0.55000000000000004">
      <c r="A1" s="59" t="s">
        <v>0</v>
      </c>
      <c r="B1" s="53"/>
      <c r="C1" s="57"/>
      <c r="D1" s="60"/>
      <c r="E1" s="57"/>
      <c r="F1" s="57"/>
      <c r="G1" s="57"/>
      <c r="H1" s="57"/>
      <c r="I1" s="57"/>
      <c r="J1" s="57"/>
      <c r="K1" s="57"/>
      <c r="L1" s="57"/>
      <c r="M1" s="53"/>
      <c r="N1" s="53"/>
      <c r="O1" s="53"/>
      <c r="P1" s="53"/>
      <c r="Q1" s="61"/>
      <c r="R1" s="61"/>
      <c r="S1" s="57"/>
      <c r="T1" s="57"/>
      <c r="U1" s="57"/>
      <c r="V1" s="57"/>
      <c r="W1" s="57"/>
      <c r="X1" s="57"/>
      <c r="Y1" s="57"/>
      <c r="Z1" s="58"/>
      <c r="AA1" s="58"/>
      <c r="AB1" s="58"/>
      <c r="AC1" s="62"/>
      <c r="AD1" s="62"/>
      <c r="AE1" s="53"/>
      <c r="AF1" s="53"/>
      <c r="AG1" s="53"/>
    </row>
    <row r="2" spans="1:33" ht="18.75" customHeight="1" x14ac:dyDescent="0.55000000000000004">
      <c r="A2" s="59"/>
      <c r="B2" s="53"/>
      <c r="C2" s="57"/>
      <c r="D2" s="60"/>
      <c r="E2" s="57"/>
      <c r="F2" s="57"/>
      <c r="G2" s="57"/>
      <c r="H2" s="57"/>
      <c r="I2" s="57"/>
      <c r="J2" s="57"/>
      <c r="K2" s="57"/>
      <c r="L2" s="57"/>
      <c r="M2" s="53"/>
      <c r="N2" s="53"/>
      <c r="O2" s="53"/>
      <c r="P2" s="53"/>
      <c r="Q2" s="61"/>
      <c r="R2" s="61"/>
      <c r="S2" s="57"/>
      <c r="T2" s="57"/>
      <c r="U2" s="57"/>
      <c r="V2" s="57"/>
      <c r="W2" s="57"/>
      <c r="X2" s="57"/>
      <c r="Y2" s="57"/>
      <c r="Z2" s="58"/>
      <c r="AA2" s="58"/>
      <c r="AB2" s="58"/>
      <c r="AC2" s="62"/>
      <c r="AD2" s="62"/>
      <c r="AE2" s="53"/>
      <c r="AF2" s="53" t="s">
        <v>57</v>
      </c>
      <c r="AG2" s="53" t="s">
        <v>57</v>
      </c>
    </row>
    <row r="3" spans="1:33" ht="18" customHeight="1" x14ac:dyDescent="0.55000000000000004">
      <c r="A3" s="59" t="s">
        <v>1</v>
      </c>
      <c r="B3" s="53" t="s">
        <v>58</v>
      </c>
      <c r="C3" s="57" t="s">
        <v>59</v>
      </c>
      <c r="D3" s="60" t="s">
        <v>60</v>
      </c>
      <c r="E3" s="57" t="s">
        <v>2</v>
      </c>
      <c r="F3" s="33" t="s">
        <v>3</v>
      </c>
      <c r="G3" s="33" t="s">
        <v>4</v>
      </c>
      <c r="H3" s="33" t="s">
        <v>5</v>
      </c>
      <c r="I3" s="33" t="s">
        <v>6</v>
      </c>
      <c r="J3" s="33" t="s">
        <v>7</v>
      </c>
      <c r="K3" s="33" t="s">
        <v>8</v>
      </c>
      <c r="L3" s="33" t="s">
        <v>9</v>
      </c>
      <c r="M3" s="34" t="s">
        <v>109</v>
      </c>
      <c r="N3" s="34" t="s">
        <v>110</v>
      </c>
      <c r="O3" s="34" t="s">
        <v>111</v>
      </c>
      <c r="P3" s="34" t="s">
        <v>191</v>
      </c>
      <c r="Q3" s="61" t="s">
        <v>192</v>
      </c>
      <c r="R3" s="61" t="s">
        <v>44</v>
      </c>
      <c r="S3" s="35" t="s">
        <v>61</v>
      </c>
      <c r="T3" s="35" t="s">
        <v>10</v>
      </c>
      <c r="U3" s="35" t="s">
        <v>11</v>
      </c>
      <c r="V3" s="35" t="s">
        <v>12</v>
      </c>
      <c r="W3" s="35" t="s">
        <v>13</v>
      </c>
      <c r="X3" s="35" t="s">
        <v>14</v>
      </c>
      <c r="Y3" s="35" t="s">
        <v>15</v>
      </c>
      <c r="Z3" s="63" t="s">
        <v>62</v>
      </c>
      <c r="AA3" s="63" t="s">
        <v>63</v>
      </c>
      <c r="AB3" s="63" t="s">
        <v>64</v>
      </c>
      <c r="AC3" s="64" t="s">
        <v>65</v>
      </c>
      <c r="AD3" s="64" t="s">
        <v>66</v>
      </c>
      <c r="AE3" s="53" t="s">
        <v>67</v>
      </c>
      <c r="AF3" s="53" t="s">
        <v>68</v>
      </c>
      <c r="AG3" s="53" t="s">
        <v>69</v>
      </c>
    </row>
    <row r="4" spans="1:33" ht="18.75" customHeight="1" x14ac:dyDescent="0.55000000000000004">
      <c r="A4" s="65">
        <v>38583</v>
      </c>
      <c r="B4" s="28"/>
      <c r="C4" s="57" t="s">
        <v>70</v>
      </c>
      <c r="D4" s="66"/>
      <c r="E4" s="57">
        <v>1.0362739408009287</v>
      </c>
      <c r="F4" s="67">
        <v>6.6000000000000003E-2</v>
      </c>
      <c r="G4" s="67">
        <v>80.099999999999994</v>
      </c>
      <c r="H4" s="67">
        <v>6.4</v>
      </c>
      <c r="I4" s="67">
        <v>13.33</v>
      </c>
      <c r="J4" s="67">
        <v>184</v>
      </c>
      <c r="K4" s="67">
        <v>6.4</v>
      </c>
      <c r="L4" s="67">
        <v>0.86299999999999999</v>
      </c>
      <c r="M4" s="53"/>
      <c r="N4" s="53"/>
      <c r="O4" s="53"/>
      <c r="P4" s="68"/>
      <c r="Q4" s="61"/>
      <c r="R4" s="61"/>
      <c r="S4" s="57">
        <f t="shared" ref="S4:S28" si="0">(F4/137327)*1000</f>
        <v>4.8060468808027563E-4</v>
      </c>
      <c r="T4" s="57">
        <f t="shared" ref="T4:T28" si="1">(G4/40078)*1000</f>
        <v>1.9986027246868603</v>
      </c>
      <c r="U4" s="57">
        <f t="shared" ref="U4:U26" si="2">(H4/39098)*1000</f>
        <v>0.16369123740344774</v>
      </c>
      <c r="V4" s="57">
        <f t="shared" ref="V4:V28" si="3">(I4/24305)*1000</f>
        <v>0.54844682164163749</v>
      </c>
      <c r="W4" s="57">
        <f t="shared" ref="W4:W28" si="4">(J4/22989)*1000</f>
        <v>8.0038279176997698</v>
      </c>
      <c r="X4" s="57">
        <f t="shared" ref="X4:X28" si="5">(K4/32060)*1000</f>
        <v>0.19962570180910794</v>
      </c>
      <c r="Y4" s="57">
        <f t="shared" ref="Y4:Y28" si="6">(L4/87620)*1000</f>
        <v>9.8493494635927877E-3</v>
      </c>
      <c r="Z4" s="58">
        <f t="shared" ref="Z4:Z24" si="7">V4/T4</f>
        <v>0.27441512756246633</v>
      </c>
      <c r="AA4" s="58">
        <f t="shared" ref="AA4:AA24" si="8">Y4/T4</f>
        <v>4.9281177003979004E-3</v>
      </c>
      <c r="AB4" s="58">
        <f>AA4/Z4</f>
        <v>1.7958622559086476E-2</v>
      </c>
      <c r="AC4" s="62"/>
      <c r="AD4" s="62"/>
      <c r="AE4" s="53"/>
      <c r="AF4" s="53">
        <f>LOG10(Z4)</f>
        <v>-0.56159195114380367</v>
      </c>
      <c r="AG4" s="53">
        <f>LOG10(AA4)</f>
        <v>-2.3073189282740487</v>
      </c>
    </row>
    <row r="5" spans="1:33" ht="17.25" customHeight="1" x14ac:dyDescent="0.55000000000000004">
      <c r="A5" s="65">
        <v>38596</v>
      </c>
      <c r="B5" s="53"/>
      <c r="C5" s="57" t="s">
        <v>71</v>
      </c>
      <c r="D5" s="66"/>
      <c r="E5" s="57">
        <v>1.0278539151048225</v>
      </c>
      <c r="F5" s="67">
        <v>7.2999999999999995E-2</v>
      </c>
      <c r="G5" s="67">
        <v>84.3</v>
      </c>
      <c r="H5" s="67">
        <v>6.3</v>
      </c>
      <c r="I5" s="67">
        <v>13.23</v>
      </c>
      <c r="J5" s="67">
        <v>190</v>
      </c>
      <c r="K5" s="67">
        <v>6.5</v>
      </c>
      <c r="L5" s="67">
        <v>0.85799999999999998</v>
      </c>
      <c r="M5" s="53"/>
      <c r="N5" s="53"/>
      <c r="O5" s="53"/>
      <c r="P5" s="68">
        <v>0.5</v>
      </c>
      <c r="Q5" s="61">
        <v>12.38</v>
      </c>
      <c r="R5" s="61"/>
      <c r="S5" s="57">
        <f t="shared" si="0"/>
        <v>5.3157791257363806E-4</v>
      </c>
      <c r="T5" s="57">
        <f t="shared" si="1"/>
        <v>2.1033983731723143</v>
      </c>
      <c r="U5" s="57">
        <f t="shared" si="2"/>
        <v>0.16113356181901886</v>
      </c>
      <c r="V5" s="57">
        <f t="shared" si="3"/>
        <v>0.54433244188438601</v>
      </c>
      <c r="W5" s="57">
        <f t="shared" si="4"/>
        <v>8.2648223063204131</v>
      </c>
      <c r="X5" s="57">
        <f t="shared" si="5"/>
        <v>0.20274485339987525</v>
      </c>
      <c r="Y5" s="57">
        <f t="shared" si="6"/>
        <v>9.7922848664688429E-3</v>
      </c>
      <c r="Z5" s="58">
        <f t="shared" si="7"/>
        <v>0.25878713648686147</v>
      </c>
      <c r="AA5" s="58">
        <f t="shared" si="8"/>
        <v>4.6554589902531229E-3</v>
      </c>
      <c r="AB5" s="58">
        <f t="shared" ref="AB5:AB23" si="9">AA5/Z5</f>
        <v>1.7989530134506816E-2</v>
      </c>
      <c r="AC5" s="62"/>
      <c r="AD5" s="62"/>
      <c r="AE5" s="53"/>
      <c r="AF5" s="53">
        <f t="shared" ref="AF5:AG27" si="10">LOG10(Z5)</f>
        <v>-0.58705731491066659</v>
      </c>
      <c r="AG5" s="53">
        <f t="shared" si="10"/>
        <v>-2.3320374946810576</v>
      </c>
    </row>
    <row r="6" spans="1:33" ht="16.5" customHeight="1" x14ac:dyDescent="0.55000000000000004">
      <c r="A6" s="65">
        <v>38628</v>
      </c>
      <c r="B6" s="53"/>
      <c r="C6" s="57" t="s">
        <v>72</v>
      </c>
      <c r="D6" s="39"/>
      <c r="E6" s="57">
        <v>1.02780067440989</v>
      </c>
      <c r="F6" s="67">
        <v>2.9000000000000001E-2</v>
      </c>
      <c r="G6" s="67">
        <v>83.5</v>
      </c>
      <c r="H6" s="67">
        <v>6.2</v>
      </c>
      <c r="I6" s="67">
        <v>13.03</v>
      </c>
      <c r="J6" s="67">
        <v>190</v>
      </c>
      <c r="K6" s="67">
        <v>6.7</v>
      </c>
      <c r="L6" s="67">
        <v>0.84499999999999997</v>
      </c>
      <c r="M6" s="53"/>
      <c r="N6" s="53"/>
      <c r="O6" s="53"/>
      <c r="P6" s="68">
        <v>1</v>
      </c>
      <c r="Q6" s="61">
        <v>12.52</v>
      </c>
      <c r="R6" s="61"/>
      <c r="S6" s="57">
        <f t="shared" si="0"/>
        <v>2.1117478718678777E-4</v>
      </c>
      <c r="T6" s="57">
        <f t="shared" si="1"/>
        <v>2.083437297270323</v>
      </c>
      <c r="U6" s="57">
        <f t="shared" si="2"/>
        <v>0.15857588623459001</v>
      </c>
      <c r="V6" s="57">
        <f t="shared" si="3"/>
        <v>0.53610368236988271</v>
      </c>
      <c r="W6" s="57">
        <f t="shared" si="4"/>
        <v>8.2648223063204131</v>
      </c>
      <c r="X6" s="57">
        <f t="shared" si="5"/>
        <v>0.20898315658140984</v>
      </c>
      <c r="Y6" s="57">
        <f t="shared" si="6"/>
        <v>9.6439169139465875E-3</v>
      </c>
      <c r="Z6" s="58">
        <f t="shared" si="7"/>
        <v>0.25731692673078033</v>
      </c>
      <c r="AA6" s="58">
        <f t="shared" si="8"/>
        <v>4.6288491266724711E-3</v>
      </c>
      <c r="AB6" s="58">
        <f t="shared" si="9"/>
        <v>1.7988902578163612E-2</v>
      </c>
      <c r="AC6" s="62"/>
      <c r="AD6" s="62"/>
      <c r="AE6" s="53"/>
      <c r="AF6" s="53">
        <f t="shared" si="10"/>
        <v>-0.58953164424444271</v>
      </c>
      <c r="AG6" s="53">
        <f t="shared" si="10"/>
        <v>-2.3345269744389308</v>
      </c>
    </row>
    <row r="7" spans="1:33" ht="18" customHeight="1" x14ac:dyDescent="0.55000000000000004">
      <c r="A7" s="65">
        <v>38658</v>
      </c>
      <c r="B7" s="53"/>
      <c r="C7" s="57" t="s">
        <v>73</v>
      </c>
      <c r="D7" s="39"/>
      <c r="E7" s="57">
        <v>1.028061224489796</v>
      </c>
      <c r="F7" s="67">
        <v>0.02</v>
      </c>
      <c r="G7" s="67">
        <v>79.2</v>
      </c>
      <c r="H7" s="67">
        <v>6</v>
      </c>
      <c r="I7" s="67">
        <v>12.7</v>
      </c>
      <c r="J7" s="67">
        <v>190</v>
      </c>
      <c r="K7" s="67">
        <v>6.6</v>
      </c>
      <c r="L7" s="67">
        <v>0.82499999999999996</v>
      </c>
      <c r="M7" s="53"/>
      <c r="N7" s="53"/>
      <c r="O7" s="53"/>
      <c r="P7" s="68">
        <v>1</v>
      </c>
      <c r="Q7" s="61">
        <v>13.18</v>
      </c>
      <c r="R7" s="61"/>
      <c r="S7" s="57">
        <f t="shared" si="0"/>
        <v>1.4563778426675018E-4</v>
      </c>
      <c r="T7" s="57">
        <f t="shared" si="1"/>
        <v>1.9761465142971208</v>
      </c>
      <c r="U7" s="57">
        <f t="shared" si="2"/>
        <v>0.15346053506573226</v>
      </c>
      <c r="V7" s="57">
        <f t="shared" si="3"/>
        <v>0.52252622917095248</v>
      </c>
      <c r="W7" s="57">
        <f t="shared" si="4"/>
        <v>8.2648223063204131</v>
      </c>
      <c r="X7" s="57">
        <f t="shared" si="5"/>
        <v>0.20586400499064253</v>
      </c>
      <c r="Y7" s="57">
        <f t="shared" si="6"/>
        <v>9.41565852545081E-3</v>
      </c>
      <c r="Z7" s="58">
        <f t="shared" si="7"/>
        <v>0.26441674511001806</v>
      </c>
      <c r="AA7" s="58">
        <f t="shared" si="8"/>
        <v>4.7646560906946652E-3</v>
      </c>
      <c r="AB7" s="58">
        <f t="shared" si="9"/>
        <v>1.8019494524494639E-2</v>
      </c>
      <c r="AC7" s="62"/>
      <c r="AD7" s="62"/>
      <c r="AE7" s="53"/>
      <c r="AF7" s="53">
        <f t="shared" si="10"/>
        <v>-0.57771104510696203</v>
      </c>
      <c r="AG7" s="53">
        <f t="shared" si="10"/>
        <v>-2.3219684409445893</v>
      </c>
    </row>
    <row r="8" spans="1:33" ht="17.25" customHeight="1" x14ac:dyDescent="0.55000000000000004">
      <c r="A8" s="65">
        <v>38688</v>
      </c>
      <c r="B8" s="53"/>
      <c r="C8" s="57" t="s">
        <v>74</v>
      </c>
      <c r="D8" s="66"/>
      <c r="E8" s="57">
        <v>1.02836237459455</v>
      </c>
      <c r="F8" s="67">
        <v>2.9000000000000001E-2</v>
      </c>
      <c r="G8" s="67">
        <v>78.900000000000006</v>
      </c>
      <c r="H8" s="67">
        <v>6.1</v>
      </c>
      <c r="I8" s="67">
        <v>12.58</v>
      </c>
      <c r="J8" s="67">
        <v>187</v>
      </c>
      <c r="K8" s="67">
        <v>6.6</v>
      </c>
      <c r="L8" s="67">
        <v>0.81899999999999995</v>
      </c>
      <c r="M8" s="53"/>
      <c r="N8" s="53"/>
      <c r="O8" s="53"/>
      <c r="P8" s="68">
        <v>1</v>
      </c>
      <c r="Q8" s="61">
        <v>17.28</v>
      </c>
      <c r="R8" s="61"/>
      <c r="S8" s="57">
        <f t="shared" si="0"/>
        <v>2.1117478718678777E-4</v>
      </c>
      <c r="T8" s="57">
        <f t="shared" si="1"/>
        <v>1.9686611108338743</v>
      </c>
      <c r="U8" s="57">
        <f t="shared" si="2"/>
        <v>0.15601821065016111</v>
      </c>
      <c r="V8" s="57">
        <f t="shared" si="3"/>
        <v>0.51758897346225063</v>
      </c>
      <c r="W8" s="57">
        <f t="shared" si="4"/>
        <v>8.1343251120100923</v>
      </c>
      <c r="X8" s="57">
        <f t="shared" si="5"/>
        <v>0.20586400499064253</v>
      </c>
      <c r="Y8" s="57">
        <f t="shared" si="6"/>
        <v>9.3471810089020765E-3</v>
      </c>
      <c r="Z8" s="58">
        <f t="shared" si="7"/>
        <v>0.26291420631711127</v>
      </c>
      <c r="AA8" s="58">
        <f t="shared" si="8"/>
        <v>4.747988852658775E-3</v>
      </c>
      <c r="AB8" s="58">
        <f t="shared" si="9"/>
        <v>1.8059080637628372E-2</v>
      </c>
      <c r="AC8" s="62"/>
      <c r="AD8" s="62"/>
      <c r="AE8" s="53"/>
      <c r="AF8" s="53">
        <f t="shared" si="10"/>
        <v>-0.58018594657359546</v>
      </c>
      <c r="AG8" s="53">
        <f t="shared" si="10"/>
        <v>-2.3234903093540229</v>
      </c>
    </row>
    <row r="9" spans="1:33" ht="15" customHeight="1" x14ac:dyDescent="0.55000000000000004">
      <c r="A9" s="65">
        <v>38721</v>
      </c>
      <c r="B9" s="28" t="s">
        <v>75</v>
      </c>
      <c r="C9" s="57" t="s">
        <v>76</v>
      </c>
      <c r="D9" s="66"/>
      <c r="E9" s="57">
        <v>1.0254934809527279</v>
      </c>
      <c r="F9" s="67">
        <v>2.9000000000000001E-2</v>
      </c>
      <c r="G9" s="69">
        <v>72</v>
      </c>
      <c r="H9" s="67">
        <v>6.2</v>
      </c>
      <c r="I9" s="67">
        <v>12.42</v>
      </c>
      <c r="J9" s="67">
        <v>186</v>
      </c>
      <c r="K9" s="67">
        <v>6.8</v>
      </c>
      <c r="L9" s="67">
        <v>0.80700000000000005</v>
      </c>
      <c r="M9" s="53"/>
      <c r="N9" s="53"/>
      <c r="O9" s="53"/>
      <c r="P9" s="68">
        <v>1</v>
      </c>
      <c r="Q9" s="61">
        <v>18.100000000000001</v>
      </c>
      <c r="R9" s="61"/>
      <c r="S9" s="57">
        <f t="shared" si="0"/>
        <v>2.1117478718678777E-4</v>
      </c>
      <c r="T9" s="57">
        <f t="shared" si="1"/>
        <v>1.7964968311792007</v>
      </c>
      <c r="U9" s="57">
        <f t="shared" si="2"/>
        <v>0.15857588623459001</v>
      </c>
      <c r="V9" s="57">
        <f t="shared" si="3"/>
        <v>0.51100596585064795</v>
      </c>
      <c r="W9" s="57">
        <f t="shared" si="4"/>
        <v>8.090826047239986</v>
      </c>
      <c r="X9" s="57">
        <f t="shared" si="5"/>
        <v>0.21210230817217715</v>
      </c>
      <c r="Y9" s="57">
        <f t="shared" si="6"/>
        <v>9.2102259758046114E-3</v>
      </c>
      <c r="Z9" s="58">
        <f t="shared" si="7"/>
        <v>0.28444579304669815</v>
      </c>
      <c r="AA9" s="58">
        <f t="shared" si="8"/>
        <v>5.1267699535874614E-3</v>
      </c>
      <c r="AB9" s="58">
        <f t="shared" si="9"/>
        <v>1.8023715164406692E-2</v>
      </c>
      <c r="AC9" s="62"/>
      <c r="AD9" s="62"/>
      <c r="AE9" s="53"/>
      <c r="AF9" s="53">
        <f t="shared" si="10"/>
        <v>-0.54600048506413246</v>
      </c>
      <c r="AG9" s="53">
        <f t="shared" si="10"/>
        <v>-2.2901561696142188</v>
      </c>
    </row>
    <row r="10" spans="1:33" ht="16.5" customHeight="1" x14ac:dyDescent="0.55000000000000004">
      <c r="A10" s="65">
        <v>38749</v>
      </c>
      <c r="B10" s="53"/>
      <c r="C10" s="57" t="s">
        <v>77</v>
      </c>
      <c r="D10" s="66"/>
      <c r="E10" s="57">
        <v>1.0256258769662507</v>
      </c>
      <c r="F10" s="67">
        <v>2.7E-2</v>
      </c>
      <c r="G10" s="67">
        <v>71.2</v>
      </c>
      <c r="H10" s="67">
        <v>6.5</v>
      </c>
      <c r="I10" s="67">
        <v>12.53</v>
      </c>
      <c r="J10" s="67">
        <v>186</v>
      </c>
      <c r="K10" s="67">
        <v>6.9</v>
      </c>
      <c r="L10" s="67">
        <v>0.81599999999999995</v>
      </c>
      <c r="M10" s="53">
        <v>329</v>
      </c>
      <c r="N10" s="53">
        <v>19.5</v>
      </c>
      <c r="O10" s="53"/>
      <c r="P10" s="68">
        <v>0.8</v>
      </c>
      <c r="Q10" s="61">
        <v>12.36</v>
      </c>
      <c r="R10" s="61"/>
      <c r="S10" s="57">
        <f t="shared" si="0"/>
        <v>1.9661100876011272E-4</v>
      </c>
      <c r="T10" s="57">
        <f t="shared" si="1"/>
        <v>1.7765357552772096</v>
      </c>
      <c r="U10" s="57">
        <f t="shared" si="2"/>
        <v>0.16624891298787661</v>
      </c>
      <c r="V10" s="57">
        <f t="shared" si="3"/>
        <v>0.51553178358362473</v>
      </c>
      <c r="W10" s="57">
        <f t="shared" si="4"/>
        <v>8.090826047239986</v>
      </c>
      <c r="X10" s="57">
        <f t="shared" si="5"/>
        <v>0.21522145976294449</v>
      </c>
      <c r="Y10" s="57">
        <f t="shared" si="6"/>
        <v>9.3129422506277107E-3</v>
      </c>
      <c r="Z10" s="58">
        <f t="shared" si="7"/>
        <v>0.29018936548405211</v>
      </c>
      <c r="AA10" s="58">
        <f t="shared" si="8"/>
        <v>5.2421924089979966E-3</v>
      </c>
      <c r="AB10" s="58">
        <f t="shared" si="9"/>
        <v>1.8064729561173706E-2</v>
      </c>
      <c r="AC10" s="62">
        <f t="shared" ref="AC10" si="11">(M10/35450)*1000</f>
        <v>9.2806770098730595</v>
      </c>
      <c r="AD10" s="62"/>
      <c r="AE10" s="53"/>
      <c r="AF10" s="53">
        <f t="shared" si="10"/>
        <v>-0.53731850711613172</v>
      </c>
      <c r="AG10" s="53">
        <f t="shared" si="10"/>
        <v>-2.2804870427880162</v>
      </c>
    </row>
    <row r="11" spans="1:33" ht="17.25" customHeight="1" x14ac:dyDescent="0.55000000000000004">
      <c r="A11" s="65">
        <v>38776</v>
      </c>
      <c r="B11" s="53"/>
      <c r="C11" s="57" t="s">
        <v>78</v>
      </c>
      <c r="D11" s="66"/>
      <c r="E11" s="57">
        <v>1.0207082833133301</v>
      </c>
      <c r="F11" s="67">
        <v>2.8000000000000001E-2</v>
      </c>
      <c r="G11" s="67">
        <v>67.900000000000006</v>
      </c>
      <c r="H11" s="67">
        <v>6</v>
      </c>
      <c r="I11" s="67">
        <v>12.13</v>
      </c>
      <c r="J11" s="67">
        <v>191</v>
      </c>
      <c r="K11" s="67">
        <v>7.1</v>
      </c>
      <c r="L11" s="67">
        <v>0.79200000000000004</v>
      </c>
      <c r="M11" s="53"/>
      <c r="N11" s="53"/>
      <c r="O11" s="53"/>
      <c r="P11" s="68">
        <v>0.75</v>
      </c>
      <c r="Q11" s="61">
        <v>16.309999999999999</v>
      </c>
      <c r="R11" s="61"/>
      <c r="S11" s="57">
        <f t="shared" si="0"/>
        <v>2.0389289797345024E-4</v>
      </c>
      <c r="T11" s="57">
        <f t="shared" si="1"/>
        <v>1.6941963171814962</v>
      </c>
      <c r="U11" s="57">
        <f t="shared" si="2"/>
        <v>0.15346053506573226</v>
      </c>
      <c r="V11" s="57">
        <f t="shared" si="3"/>
        <v>0.4990742645546184</v>
      </c>
      <c r="W11" s="57">
        <f t="shared" si="4"/>
        <v>8.3083213710905213</v>
      </c>
      <c r="X11" s="57">
        <f t="shared" si="5"/>
        <v>0.22145976294447911</v>
      </c>
      <c r="Y11" s="57">
        <f t="shared" si="6"/>
        <v>9.0390321844327787E-3</v>
      </c>
      <c r="Z11" s="58">
        <f t="shared" si="7"/>
        <v>0.2945787684067746</v>
      </c>
      <c r="AA11" s="58">
        <f t="shared" si="8"/>
        <v>5.3352920749292617E-3</v>
      </c>
      <c r="AB11" s="58">
        <f t="shared" si="9"/>
        <v>1.8111597464356033E-2</v>
      </c>
      <c r="AC11" s="62"/>
      <c r="AD11" s="62"/>
      <c r="AE11" s="53"/>
      <c r="AF11" s="53">
        <f t="shared" si="10"/>
        <v>-0.53079855788735397</v>
      </c>
      <c r="AG11" s="53">
        <f t="shared" si="10"/>
        <v>-2.2728418005960291</v>
      </c>
    </row>
    <row r="12" spans="1:33" ht="15.75" customHeight="1" x14ac:dyDescent="0.55000000000000004">
      <c r="A12" s="65">
        <v>38811</v>
      </c>
      <c r="B12" s="53"/>
      <c r="C12" s="57" t="s">
        <v>79</v>
      </c>
      <c r="D12" s="66"/>
      <c r="E12" s="57">
        <v>1.01914802065404</v>
      </c>
      <c r="F12" s="67">
        <v>2.1000000000000001E-2</v>
      </c>
      <c r="G12" s="67">
        <v>64.900000000000006</v>
      </c>
      <c r="H12" s="67">
        <v>6.2</v>
      </c>
      <c r="I12" s="67">
        <v>12.19</v>
      </c>
      <c r="J12" s="67">
        <v>196</v>
      </c>
      <c r="K12" s="67">
        <v>7.4</v>
      </c>
      <c r="L12" s="67">
        <v>0.79500000000000004</v>
      </c>
      <c r="M12" s="53"/>
      <c r="N12" s="53"/>
      <c r="O12" s="53"/>
      <c r="P12" s="68">
        <v>0.5</v>
      </c>
      <c r="Q12" s="61">
        <v>17.2</v>
      </c>
      <c r="R12" s="61"/>
      <c r="S12" s="57">
        <f t="shared" si="0"/>
        <v>1.5291967348008767E-4</v>
      </c>
      <c r="T12" s="57">
        <f t="shared" si="1"/>
        <v>1.6193422825490296</v>
      </c>
      <c r="U12" s="57">
        <f t="shared" si="2"/>
        <v>0.15857588623459001</v>
      </c>
      <c r="V12" s="57">
        <f t="shared" si="3"/>
        <v>0.50154289240896932</v>
      </c>
      <c r="W12" s="57">
        <f t="shared" si="4"/>
        <v>8.5258166949410583</v>
      </c>
      <c r="X12" s="57">
        <f t="shared" si="5"/>
        <v>0.23081721771678104</v>
      </c>
      <c r="Y12" s="57">
        <f t="shared" si="6"/>
        <v>9.0732709427071446E-3</v>
      </c>
      <c r="Z12" s="58">
        <f t="shared" si="7"/>
        <v>0.30972012391319986</v>
      </c>
      <c r="AA12" s="58">
        <f t="shared" si="8"/>
        <v>5.6030593658215238E-3</v>
      </c>
      <c r="AB12" s="58">
        <f t="shared" si="9"/>
        <v>1.809071782301043E-2</v>
      </c>
      <c r="AC12" s="62"/>
      <c r="AD12" s="62"/>
      <c r="AE12" s="53"/>
      <c r="AF12" s="53">
        <f t="shared" si="10"/>
        <v>-0.50903057565541265</v>
      </c>
      <c r="AG12" s="53">
        <f t="shared" si="10"/>
        <v>-2.25157477604892</v>
      </c>
    </row>
    <row r="13" spans="1:33" ht="18" customHeight="1" x14ac:dyDescent="0.55000000000000004">
      <c r="A13" s="65">
        <v>38840</v>
      </c>
      <c r="B13" s="53"/>
      <c r="C13" s="57" t="s">
        <v>80</v>
      </c>
      <c r="D13" s="66"/>
      <c r="E13" s="57">
        <v>1.02769857433809</v>
      </c>
      <c r="F13" s="67">
        <v>2.1000000000000001E-2</v>
      </c>
      <c r="G13" s="67">
        <v>55.5</v>
      </c>
      <c r="H13" s="67">
        <v>6.8</v>
      </c>
      <c r="I13" s="67">
        <v>11.91</v>
      </c>
      <c r="J13" s="67">
        <v>190</v>
      </c>
      <c r="K13" s="67">
        <v>7.3</v>
      </c>
      <c r="L13" s="67">
        <v>0.76200000000000001</v>
      </c>
      <c r="M13" s="53"/>
      <c r="N13" s="53"/>
      <c r="O13" s="53"/>
      <c r="P13" s="68">
        <v>0.75</v>
      </c>
      <c r="Q13" s="61">
        <v>18.3</v>
      </c>
      <c r="R13" s="61"/>
      <c r="S13" s="57">
        <f t="shared" si="0"/>
        <v>1.5291967348008767E-4</v>
      </c>
      <c r="T13" s="57">
        <f t="shared" si="1"/>
        <v>1.3847996407006338</v>
      </c>
      <c r="U13" s="57">
        <f t="shared" si="2"/>
        <v>0.17392193974116324</v>
      </c>
      <c r="V13" s="57">
        <f t="shared" si="3"/>
        <v>0.49002262908866484</v>
      </c>
      <c r="W13" s="57">
        <f t="shared" si="4"/>
        <v>8.2648223063204131</v>
      </c>
      <c r="X13" s="57">
        <f t="shared" si="5"/>
        <v>0.2276980661260137</v>
      </c>
      <c r="Y13" s="57">
        <f t="shared" si="6"/>
        <v>8.6966446016891116E-3</v>
      </c>
      <c r="Z13" s="58">
        <f t="shared" si="7"/>
        <v>0.3538581428579371</v>
      </c>
      <c r="AA13" s="58">
        <f t="shared" si="8"/>
        <v>6.280074276513445E-3</v>
      </c>
      <c r="AB13" s="58">
        <f t="shared" si="9"/>
        <v>1.774743468044113E-2</v>
      </c>
      <c r="AC13" s="62"/>
      <c r="AD13" s="62"/>
      <c r="AE13" s="53"/>
      <c r="AF13" s="53">
        <f t="shared" si="10"/>
        <v>-0.45117080611332405</v>
      </c>
      <c r="AG13" s="53">
        <f t="shared" si="10"/>
        <v>-2.2020352196880966</v>
      </c>
    </row>
    <row r="14" spans="1:33" ht="16.5" customHeight="1" x14ac:dyDescent="0.55000000000000004">
      <c r="A14" s="65">
        <v>38868</v>
      </c>
      <c r="B14" s="53" t="s">
        <v>81</v>
      </c>
      <c r="C14" s="57" t="s">
        <v>82</v>
      </c>
      <c r="D14" s="66"/>
      <c r="E14" s="57">
        <v>1.021033517439661</v>
      </c>
      <c r="F14" s="67">
        <v>2.7E-2</v>
      </c>
      <c r="G14" s="67">
        <v>47.9</v>
      </c>
      <c r="H14" s="67">
        <v>6.6</v>
      </c>
      <c r="I14" s="67">
        <v>11.97</v>
      </c>
      <c r="J14" s="67">
        <v>189</v>
      </c>
      <c r="K14" s="67">
        <v>7.8</v>
      </c>
      <c r="L14" s="67">
        <v>0.754</v>
      </c>
      <c r="M14" s="70">
        <v>321.11353000000003</v>
      </c>
      <c r="N14" s="70">
        <v>23.156909997</v>
      </c>
      <c r="O14" s="71">
        <v>2.670784517</v>
      </c>
      <c r="P14" s="71"/>
      <c r="Q14" s="61"/>
      <c r="R14" s="61"/>
      <c r="S14" s="57">
        <f t="shared" si="0"/>
        <v>1.9661100876011272E-4</v>
      </c>
      <c r="T14" s="57">
        <f t="shared" si="1"/>
        <v>1.1951694196317182</v>
      </c>
      <c r="U14" s="57">
        <f t="shared" si="2"/>
        <v>0.16880658857230546</v>
      </c>
      <c r="V14" s="57">
        <f t="shared" si="3"/>
        <v>0.49249125694301588</v>
      </c>
      <c r="W14" s="57">
        <f t="shared" si="4"/>
        <v>8.2213232415503068</v>
      </c>
      <c r="X14" s="57">
        <f t="shared" si="5"/>
        <v>0.24329382407985028</v>
      </c>
      <c r="Y14" s="57">
        <f t="shared" si="6"/>
        <v>8.6053412462908027E-3</v>
      </c>
      <c r="Z14" s="58">
        <f t="shared" si="7"/>
        <v>0.41206815440004574</v>
      </c>
      <c r="AA14" s="58">
        <f t="shared" si="8"/>
        <v>7.2001015964267808E-3</v>
      </c>
      <c r="AB14" s="58">
        <f t="shared" si="9"/>
        <v>1.7473084293324809E-2</v>
      </c>
      <c r="AC14" s="62">
        <f>(M14/35450)*1000</f>
        <v>9.0582095909732026</v>
      </c>
      <c r="AD14" s="62">
        <f>(N14/96056)*1000</f>
        <v>0.24107718411135171</v>
      </c>
      <c r="AE14" s="53">
        <f>(O14/62004)*1000</f>
        <v>4.3074390636087992E-2</v>
      </c>
      <c r="AF14" s="53">
        <f t="shared" si="10"/>
        <v>-0.38503094748157779</v>
      </c>
      <c r="AG14" s="53">
        <f t="shared" si="10"/>
        <v>-2.1426613754498098</v>
      </c>
    </row>
    <row r="15" spans="1:33" ht="16.5" customHeight="1" x14ac:dyDescent="0.55000000000000004">
      <c r="A15" s="65">
        <v>38903</v>
      </c>
      <c r="B15" s="53" t="s">
        <v>83</v>
      </c>
      <c r="C15" s="57" t="s">
        <v>84</v>
      </c>
      <c r="D15" s="66"/>
      <c r="E15" s="57">
        <v>1.02433564413634</v>
      </c>
      <c r="F15" s="67">
        <v>2.1000000000000001E-2</v>
      </c>
      <c r="G15" s="67">
        <v>51.6</v>
      </c>
      <c r="H15" s="67">
        <v>6.2</v>
      </c>
      <c r="I15" s="67">
        <v>11.64</v>
      </c>
      <c r="J15" s="67">
        <v>186</v>
      </c>
      <c r="K15" s="67">
        <v>7.7</v>
      </c>
      <c r="L15" s="67">
        <v>0.73399999999999999</v>
      </c>
      <c r="M15" s="70">
        <v>311.43335999999999</v>
      </c>
      <c r="N15" s="70">
        <v>23.251018844000001</v>
      </c>
      <c r="O15" s="71">
        <v>2.7128799039999998</v>
      </c>
      <c r="P15" s="71"/>
      <c r="Q15" s="61">
        <v>6.22</v>
      </c>
      <c r="R15" s="61">
        <v>7.7</v>
      </c>
      <c r="S15" s="57">
        <f t="shared" si="0"/>
        <v>1.5291967348008767E-4</v>
      </c>
      <c r="T15" s="57">
        <f t="shared" si="1"/>
        <v>1.287489395678427</v>
      </c>
      <c r="U15" s="57">
        <f t="shared" si="2"/>
        <v>0.15857588623459001</v>
      </c>
      <c r="V15" s="57">
        <f t="shared" si="3"/>
        <v>0.4789138037440856</v>
      </c>
      <c r="W15" s="57">
        <f t="shared" si="4"/>
        <v>8.090826047239986</v>
      </c>
      <c r="X15" s="57">
        <f t="shared" si="5"/>
        <v>0.24017467248908297</v>
      </c>
      <c r="Y15" s="57">
        <f t="shared" si="6"/>
        <v>8.3770828577950235E-3</v>
      </c>
      <c r="Z15" s="58">
        <f t="shared" si="7"/>
        <v>0.3719749501251059</v>
      </c>
      <c r="AA15" s="58">
        <f t="shared" si="8"/>
        <v>6.5065257126881585E-3</v>
      </c>
      <c r="AB15" s="58">
        <f t="shared" si="9"/>
        <v>1.7491838389923371E-2</v>
      </c>
      <c r="AC15" s="62">
        <f t="shared" ref="AC15:AC26" si="12">(M15/35450)*1000</f>
        <v>8.7851441466854734</v>
      </c>
      <c r="AD15" s="62">
        <f>(N15/96056)*1000</f>
        <v>0.2420569130923628</v>
      </c>
      <c r="AE15" s="53">
        <f>(O15/62004)*1000</f>
        <v>4.3753304690019992E-2</v>
      </c>
      <c r="AF15" s="53">
        <f t="shared" si="10"/>
        <v>-0.42948630578676689</v>
      </c>
      <c r="AG15" s="53">
        <f t="shared" si="10"/>
        <v>-2.1866508496161616</v>
      </c>
    </row>
    <row r="16" spans="1:33" ht="19.5" customHeight="1" x14ac:dyDescent="0.55000000000000004">
      <c r="A16" s="65">
        <v>38931</v>
      </c>
      <c r="B16" s="53" t="s">
        <v>85</v>
      </c>
      <c r="C16" s="57" t="s">
        <v>86</v>
      </c>
      <c r="D16" s="66"/>
      <c r="E16" s="57">
        <v>1.0225265017667799</v>
      </c>
      <c r="F16" s="67">
        <v>2.4E-2</v>
      </c>
      <c r="G16" s="67">
        <v>46.2</v>
      </c>
      <c r="H16" s="67">
        <v>6.1</v>
      </c>
      <c r="I16" s="67">
        <v>11.33</v>
      </c>
      <c r="J16" s="67">
        <v>186</v>
      </c>
      <c r="K16" s="67">
        <v>7.8</v>
      </c>
      <c r="L16" s="67">
        <v>0.70699999999999996</v>
      </c>
      <c r="M16" s="70">
        <v>300.4701</v>
      </c>
      <c r="N16" s="70">
        <v>23.549747883999999</v>
      </c>
      <c r="O16" s="70">
        <v>45.331160832000002</v>
      </c>
      <c r="P16" s="70"/>
      <c r="Q16" s="72">
        <v>8.41</v>
      </c>
      <c r="R16" s="61">
        <v>7.4</v>
      </c>
      <c r="S16" s="57">
        <f t="shared" si="0"/>
        <v>1.747653411201002E-4</v>
      </c>
      <c r="T16" s="57">
        <f t="shared" si="1"/>
        <v>1.1527521333399871</v>
      </c>
      <c r="U16" s="57">
        <f t="shared" si="2"/>
        <v>0.15601821065016111</v>
      </c>
      <c r="V16" s="57">
        <f t="shared" si="3"/>
        <v>0.46615922649660568</v>
      </c>
      <c r="W16" s="57">
        <f t="shared" si="4"/>
        <v>8.090826047239986</v>
      </c>
      <c r="X16" s="57">
        <f t="shared" si="5"/>
        <v>0.24329382407985028</v>
      </c>
      <c r="Y16" s="57">
        <f t="shared" si="6"/>
        <v>8.0689340333257257E-3</v>
      </c>
      <c r="Z16" s="58">
        <f t="shared" si="7"/>
        <v>0.40438808397253168</v>
      </c>
      <c r="AA16" s="58">
        <f t="shared" si="8"/>
        <v>6.9997129477841653E-3</v>
      </c>
      <c r="AB16" s="58">
        <f t="shared" si="9"/>
        <v>1.7309394676079587E-2</v>
      </c>
      <c r="AC16" s="62">
        <f t="shared" si="12"/>
        <v>8.4758843441466869</v>
      </c>
      <c r="AD16" s="62">
        <f t="shared" ref="AD16:AD26" si="13">(N16/96056)*1000</f>
        <v>0.2451668597901224</v>
      </c>
      <c r="AE16" s="53">
        <f t="shared" ref="AE16:AE26" si="14">(O16/62004)*1000</f>
        <v>0.73110058757499519</v>
      </c>
      <c r="AF16" s="53">
        <f t="shared" si="10"/>
        <v>-0.39320165016615349</v>
      </c>
      <c r="AG16" s="53">
        <f t="shared" si="10"/>
        <v>-2.154919769664247</v>
      </c>
    </row>
    <row r="17" spans="1:33" ht="17.25" customHeight="1" x14ac:dyDescent="0.55000000000000004">
      <c r="A17" s="65">
        <v>38965</v>
      </c>
      <c r="B17" s="28" t="s">
        <v>87</v>
      </c>
      <c r="C17" s="57" t="s">
        <v>88</v>
      </c>
      <c r="D17" s="66"/>
      <c r="E17" s="57">
        <v>1.0218983851910199</v>
      </c>
      <c r="F17" s="67">
        <v>2.4E-2</v>
      </c>
      <c r="G17" s="67">
        <v>45.8</v>
      </c>
      <c r="H17" s="67">
        <v>5.8</v>
      </c>
      <c r="I17" s="67">
        <v>10.91</v>
      </c>
      <c r="J17" s="67">
        <v>185</v>
      </c>
      <c r="K17" s="67">
        <v>7.7</v>
      </c>
      <c r="L17" s="67">
        <v>0.67800000000000005</v>
      </c>
      <c r="M17" s="41">
        <v>294</v>
      </c>
      <c r="N17" s="42">
        <v>23</v>
      </c>
      <c r="O17" s="43">
        <v>3.3</v>
      </c>
      <c r="P17" s="43"/>
      <c r="Q17" s="61">
        <v>8.42</v>
      </c>
      <c r="R17" s="61">
        <v>7.4</v>
      </c>
      <c r="S17" s="57">
        <f t="shared" si="0"/>
        <v>1.747653411201002E-4</v>
      </c>
      <c r="T17" s="57">
        <f t="shared" si="1"/>
        <v>1.1427715953889914</v>
      </c>
      <c r="U17" s="57">
        <f t="shared" si="2"/>
        <v>0.14834518389687451</v>
      </c>
      <c r="V17" s="57">
        <f t="shared" si="3"/>
        <v>0.44887883151614894</v>
      </c>
      <c r="W17" s="57">
        <f t="shared" si="4"/>
        <v>8.0473269824698761</v>
      </c>
      <c r="X17" s="57">
        <f t="shared" si="5"/>
        <v>0.24017467248908297</v>
      </c>
      <c r="Y17" s="57">
        <f t="shared" si="6"/>
        <v>7.7379593700068481E-3</v>
      </c>
      <c r="Z17" s="58">
        <f t="shared" si="7"/>
        <v>0.39279838012017942</v>
      </c>
      <c r="AA17" s="58">
        <f t="shared" si="8"/>
        <v>6.7712213019898359E-3</v>
      </c>
      <c r="AB17" s="58">
        <f t="shared" si="9"/>
        <v>1.7238414526857603E-2</v>
      </c>
      <c r="AC17" s="62">
        <f t="shared" si="12"/>
        <v>8.2933709449929474</v>
      </c>
      <c r="AD17" s="62">
        <f t="shared" si="13"/>
        <v>0.23944365786624469</v>
      </c>
      <c r="AE17" s="53">
        <f t="shared" si="14"/>
        <v>5.3222372750145151E-2</v>
      </c>
      <c r="AF17" s="53">
        <f t="shared" si="10"/>
        <v>-0.40583031188895258</v>
      </c>
      <c r="AG17" s="53">
        <f t="shared" si="10"/>
        <v>-2.1693329920418267</v>
      </c>
    </row>
    <row r="18" spans="1:33" ht="16.5" customHeight="1" x14ac:dyDescent="0.55000000000000004">
      <c r="A18" s="65">
        <v>38993</v>
      </c>
      <c r="B18" s="53"/>
      <c r="C18" s="57" t="s">
        <v>89</v>
      </c>
      <c r="D18" s="66"/>
      <c r="E18" s="57">
        <v>1.019147917663954</v>
      </c>
      <c r="F18" s="67">
        <v>2.4E-2</v>
      </c>
      <c r="G18" s="67">
        <v>44.4</v>
      </c>
      <c r="H18" s="67">
        <v>5.9</v>
      </c>
      <c r="I18" s="67">
        <v>10.88</v>
      </c>
      <c r="J18" s="67">
        <v>179</v>
      </c>
      <c r="K18" s="67">
        <v>7.8</v>
      </c>
      <c r="L18" s="67">
        <v>0.67200000000000004</v>
      </c>
      <c r="M18" s="53">
        <v>273.73351000000002</v>
      </c>
      <c r="N18" s="53"/>
      <c r="O18" s="53"/>
      <c r="P18" s="53"/>
      <c r="Q18" s="61">
        <v>9.2200000000000006</v>
      </c>
      <c r="R18" s="61">
        <v>7.4</v>
      </c>
      <c r="S18" s="57">
        <f t="shared" si="0"/>
        <v>1.747653411201002E-4</v>
      </c>
      <c r="T18" s="57">
        <f t="shared" si="1"/>
        <v>1.1078397125605068</v>
      </c>
      <c r="U18" s="57">
        <f t="shared" si="2"/>
        <v>0.15090285948130339</v>
      </c>
      <c r="V18" s="57">
        <f t="shared" si="3"/>
        <v>0.4476445175889735</v>
      </c>
      <c r="W18" s="57">
        <f t="shared" si="4"/>
        <v>7.7863325938492318</v>
      </c>
      <c r="X18" s="57">
        <f t="shared" si="5"/>
        <v>0.24329382407985028</v>
      </c>
      <c r="Y18" s="57">
        <f t="shared" si="6"/>
        <v>7.6694818534581155E-3</v>
      </c>
      <c r="Z18" s="58">
        <f t="shared" si="7"/>
        <v>0.40406975171015502</v>
      </c>
      <c r="AA18" s="58">
        <f t="shared" si="8"/>
        <v>6.9229165252904148E-3</v>
      </c>
      <c r="AB18" s="58">
        <f t="shared" si="9"/>
        <v>1.7132973938262821E-2</v>
      </c>
      <c r="AC18" s="62">
        <f t="shared" si="12"/>
        <v>7.7216787023977442</v>
      </c>
      <c r="AD18" s="62"/>
      <c r="AE18" s="53"/>
      <c r="AF18" s="53">
        <f t="shared" si="10"/>
        <v>-0.39354365922588391</v>
      </c>
      <c r="AG18" s="53">
        <f t="shared" si="10"/>
        <v>-2.1597109049658152</v>
      </c>
    </row>
    <row r="19" spans="1:33" ht="16.5" customHeight="1" x14ac:dyDescent="0.55000000000000004">
      <c r="A19" s="65">
        <v>39021</v>
      </c>
      <c r="B19" s="28" t="s">
        <v>90</v>
      </c>
      <c r="C19" s="57" t="s">
        <v>91</v>
      </c>
      <c r="D19" s="66"/>
      <c r="E19" s="57">
        <v>1.0184632093402117</v>
      </c>
      <c r="F19" s="67">
        <v>1.9E-2</v>
      </c>
      <c r="G19" s="67">
        <v>46.8</v>
      </c>
      <c r="H19" s="67">
        <v>5.7</v>
      </c>
      <c r="I19" s="67">
        <v>10.74</v>
      </c>
      <c r="J19" s="67">
        <v>183</v>
      </c>
      <c r="K19" s="67">
        <v>7.9</v>
      </c>
      <c r="L19" s="67">
        <v>0.65900000000000003</v>
      </c>
      <c r="M19" s="41">
        <v>283</v>
      </c>
      <c r="N19" s="42">
        <v>24</v>
      </c>
      <c r="O19" s="43">
        <v>4.2</v>
      </c>
      <c r="P19" s="43">
        <v>0.33333333333333331</v>
      </c>
      <c r="Q19" s="61">
        <v>10.039999999999999</v>
      </c>
      <c r="R19" s="61">
        <v>7.4</v>
      </c>
      <c r="S19" s="57">
        <f t="shared" si="0"/>
        <v>1.3835589505341265E-4</v>
      </c>
      <c r="T19" s="57">
        <f t="shared" si="1"/>
        <v>1.1677229402664804</v>
      </c>
      <c r="U19" s="57">
        <f t="shared" si="2"/>
        <v>0.14578750831244566</v>
      </c>
      <c r="V19" s="57">
        <f t="shared" si="3"/>
        <v>0.44188438592882129</v>
      </c>
      <c r="W19" s="57">
        <f t="shared" si="4"/>
        <v>7.9603288529296616</v>
      </c>
      <c r="X19" s="57">
        <f t="shared" si="5"/>
        <v>0.2464129756706176</v>
      </c>
      <c r="Y19" s="57">
        <f t="shared" si="6"/>
        <v>7.5211139009358592E-3</v>
      </c>
      <c r="Z19" s="58">
        <f t="shared" si="7"/>
        <v>0.37841543630887392</v>
      </c>
      <c r="AA19" s="58">
        <f t="shared" si="8"/>
        <v>6.4408376692672515E-3</v>
      </c>
      <c r="AB19" s="58">
        <f t="shared" si="9"/>
        <v>1.7020546867993112E-2</v>
      </c>
      <c r="AC19" s="62">
        <f t="shared" si="12"/>
        <v>7.9830747531734838</v>
      </c>
      <c r="AD19" s="62">
        <f t="shared" si="13"/>
        <v>0.24985425168651618</v>
      </c>
      <c r="AE19" s="53">
        <f t="shared" si="14"/>
        <v>6.7737565318366555E-2</v>
      </c>
      <c r="AF19" s="53">
        <f t="shared" si="10"/>
        <v>-0.42203115618401243</v>
      </c>
      <c r="AG19" s="53">
        <f t="shared" si="10"/>
        <v>-2.191057646385135</v>
      </c>
    </row>
    <row r="20" spans="1:33" ht="15.75" customHeight="1" x14ac:dyDescent="0.55000000000000004">
      <c r="A20" s="65">
        <v>39051</v>
      </c>
      <c r="B20" s="73" t="s">
        <v>92</v>
      </c>
      <c r="C20" s="57" t="s">
        <v>93</v>
      </c>
      <c r="D20" s="66"/>
      <c r="E20" s="57">
        <v>1.0230098976397899</v>
      </c>
      <c r="F20" s="67">
        <v>2.5999999999999999E-2</v>
      </c>
      <c r="G20" s="67">
        <v>45.7</v>
      </c>
      <c r="H20" s="67">
        <v>5.8</v>
      </c>
      <c r="I20" s="67">
        <v>10.61</v>
      </c>
      <c r="J20" s="67">
        <v>176</v>
      </c>
      <c r="K20" s="67">
        <v>7.9</v>
      </c>
      <c r="L20" s="67">
        <v>0.65100000000000002</v>
      </c>
      <c r="M20" s="70">
        <v>265.82128</v>
      </c>
      <c r="N20" s="70">
        <v>22.190784916999998</v>
      </c>
      <c r="O20" s="71">
        <v>3.9777886969999998</v>
      </c>
      <c r="P20" s="71">
        <v>0.33333333333333331</v>
      </c>
      <c r="Q20" s="61">
        <v>10.039999999999999</v>
      </c>
      <c r="R20" s="61">
        <v>7.4</v>
      </c>
      <c r="S20" s="57">
        <f t="shared" si="0"/>
        <v>1.8932911954677519E-4</v>
      </c>
      <c r="T20" s="57">
        <f t="shared" si="1"/>
        <v>1.1402764609012428</v>
      </c>
      <c r="U20" s="57">
        <f t="shared" si="2"/>
        <v>0.14834518389687451</v>
      </c>
      <c r="V20" s="57">
        <f t="shared" si="3"/>
        <v>0.43653569224439415</v>
      </c>
      <c r="W20" s="57">
        <f t="shared" si="4"/>
        <v>7.6558353995389092</v>
      </c>
      <c r="X20" s="57">
        <f t="shared" si="5"/>
        <v>0.2464129756706176</v>
      </c>
      <c r="Y20" s="57">
        <f t="shared" si="6"/>
        <v>7.4298105455375494E-3</v>
      </c>
      <c r="Z20" s="58">
        <f t="shared" si="7"/>
        <v>0.38283320511533536</v>
      </c>
      <c r="AA20" s="58">
        <f t="shared" si="8"/>
        <v>6.5157975283162764E-3</v>
      </c>
      <c r="AB20" s="58">
        <f t="shared" si="9"/>
        <v>1.7019938294937805E-2</v>
      </c>
      <c r="AC20" s="62">
        <f t="shared" si="12"/>
        <v>7.4984846262341325</v>
      </c>
      <c r="AD20" s="62">
        <f t="shared" si="13"/>
        <v>0.23101924832389439</v>
      </c>
      <c r="AE20" s="53">
        <f t="shared" si="14"/>
        <v>6.4153743258499443E-2</v>
      </c>
      <c r="AF20" s="53">
        <f t="shared" si="10"/>
        <v>-0.41699040064193493</v>
      </c>
      <c r="AG20" s="53">
        <f t="shared" si="10"/>
        <v>-2.1860324194066791</v>
      </c>
    </row>
    <row r="21" spans="1:33" ht="18" customHeight="1" x14ac:dyDescent="0.55000000000000004">
      <c r="A21" s="65">
        <v>39085</v>
      </c>
      <c r="B21" s="53" t="s">
        <v>94</v>
      </c>
      <c r="C21" s="57" t="s">
        <v>95</v>
      </c>
      <c r="D21" s="66"/>
      <c r="E21" s="57">
        <v>1.0221861032100772</v>
      </c>
      <c r="F21" s="67">
        <v>2.1999999999999999E-2</v>
      </c>
      <c r="G21" s="67">
        <v>47.4</v>
      </c>
      <c r="H21" s="67">
        <v>5.7</v>
      </c>
      <c r="I21" s="67">
        <v>10.39</v>
      </c>
      <c r="J21" s="67">
        <v>176</v>
      </c>
      <c r="K21" s="67">
        <v>7.8</v>
      </c>
      <c r="L21" s="67">
        <v>0.64300000000000002</v>
      </c>
      <c r="M21" s="70">
        <v>260.57499999999999</v>
      </c>
      <c r="N21" s="70">
        <v>22.285911364</v>
      </c>
      <c r="O21" s="71">
        <v>4.393945499</v>
      </c>
      <c r="P21" s="71">
        <v>0.3</v>
      </c>
      <c r="Q21" s="61">
        <v>10.199999999999999</v>
      </c>
      <c r="R21" s="61">
        <v>7.4</v>
      </c>
      <c r="S21" s="57">
        <f t="shared" si="0"/>
        <v>1.6020156269342517E-4</v>
      </c>
      <c r="T21" s="57">
        <f t="shared" si="1"/>
        <v>1.1826937471929735</v>
      </c>
      <c r="U21" s="57">
        <f t="shared" si="2"/>
        <v>0.14578750831244566</v>
      </c>
      <c r="V21" s="57">
        <f t="shared" si="3"/>
        <v>0.4274840567784407</v>
      </c>
      <c r="W21" s="57">
        <f t="shared" si="4"/>
        <v>7.6558353995389092</v>
      </c>
      <c r="X21" s="57">
        <f t="shared" si="5"/>
        <v>0.24329382407985028</v>
      </c>
      <c r="Y21" s="57">
        <f t="shared" si="6"/>
        <v>7.3385071901392379E-3</v>
      </c>
      <c r="Z21" s="58">
        <f t="shared" si="7"/>
        <v>0.36144949425245465</v>
      </c>
      <c r="AA21" s="58">
        <f t="shared" si="8"/>
        <v>6.2049090963375618E-3</v>
      </c>
      <c r="AB21" s="58">
        <f t="shared" si="9"/>
        <v>1.7166738908213103E-2</v>
      </c>
      <c r="AC21" s="62">
        <f t="shared" si="12"/>
        <v>7.350493653032439</v>
      </c>
      <c r="AD21" s="62">
        <f t="shared" si="13"/>
        <v>0.23200957112517698</v>
      </c>
      <c r="AE21" s="53">
        <f t="shared" si="14"/>
        <v>7.0865516724727434E-2</v>
      </c>
      <c r="AF21" s="53">
        <f t="shared" si="10"/>
        <v>-0.44195237859033276</v>
      </c>
      <c r="AG21" s="53">
        <f t="shared" si="10"/>
        <v>-2.2072645766548837</v>
      </c>
    </row>
    <row r="22" spans="1:33" ht="17.25" customHeight="1" x14ac:dyDescent="0.55000000000000004">
      <c r="A22" s="65">
        <v>39119</v>
      </c>
      <c r="B22" s="53"/>
      <c r="C22" s="57" t="s">
        <v>96</v>
      </c>
      <c r="D22" s="66"/>
      <c r="E22" s="57">
        <v>1.0208682406702208</v>
      </c>
      <c r="F22" s="67">
        <v>1.9E-2</v>
      </c>
      <c r="G22" s="67">
        <v>45.7</v>
      </c>
      <c r="H22" s="67">
        <v>5.6</v>
      </c>
      <c r="I22" s="67">
        <v>10.41</v>
      </c>
      <c r="J22" s="67">
        <v>176</v>
      </c>
      <c r="K22" s="67">
        <v>8</v>
      </c>
      <c r="L22" s="67">
        <v>0.64100000000000001</v>
      </c>
      <c r="M22" s="53">
        <v>258.99714999999998</v>
      </c>
      <c r="N22" s="53"/>
      <c r="O22" s="53"/>
      <c r="P22" s="53">
        <v>0.3</v>
      </c>
      <c r="Q22" s="61"/>
      <c r="R22" s="61"/>
      <c r="S22" s="57">
        <f t="shared" si="0"/>
        <v>1.3835589505341265E-4</v>
      </c>
      <c r="T22" s="57">
        <f t="shared" si="1"/>
        <v>1.1402764609012428</v>
      </c>
      <c r="U22" s="57">
        <f t="shared" si="2"/>
        <v>0.14322983272801676</v>
      </c>
      <c r="V22" s="57">
        <f t="shared" si="3"/>
        <v>0.42830693272989095</v>
      </c>
      <c r="W22" s="57">
        <f t="shared" si="4"/>
        <v>7.6558353995389092</v>
      </c>
      <c r="X22" s="57">
        <f t="shared" si="5"/>
        <v>0.24953212726138493</v>
      </c>
      <c r="Y22" s="57">
        <f t="shared" si="6"/>
        <v>7.3156813512896598E-3</v>
      </c>
      <c r="Z22" s="58">
        <f t="shared" si="7"/>
        <v>0.37561674507546094</v>
      </c>
      <c r="AA22" s="58">
        <f t="shared" si="8"/>
        <v>6.4157084725817706E-3</v>
      </c>
      <c r="AB22" s="58">
        <f t="shared" si="9"/>
        <v>1.7080464480604726E-2</v>
      </c>
      <c r="AC22" s="62">
        <f t="shared" si="12"/>
        <v>7.3059844851904083</v>
      </c>
      <c r="AD22" s="62"/>
      <c r="AE22" s="53"/>
      <c r="AF22" s="53">
        <f t="shared" si="10"/>
        <v>-0.42525505503273947</v>
      </c>
      <c r="AG22" s="53">
        <f t="shared" si="10"/>
        <v>-2.1927553784560536</v>
      </c>
    </row>
    <row r="23" spans="1:33" ht="17.25" customHeight="1" x14ac:dyDescent="0.55000000000000004">
      <c r="A23" s="65">
        <v>39143</v>
      </c>
      <c r="B23" s="53" t="s">
        <v>97</v>
      </c>
      <c r="C23" s="57" t="s">
        <v>98</v>
      </c>
      <c r="D23" s="66"/>
      <c r="E23" s="57">
        <v>1.0218545113955666</v>
      </c>
      <c r="F23" s="67">
        <v>2.1999999999999999E-2</v>
      </c>
      <c r="G23" s="67">
        <v>32.4</v>
      </c>
      <c r="H23" s="67">
        <v>5.9</v>
      </c>
      <c r="I23" s="67">
        <v>10.51</v>
      </c>
      <c r="J23" s="67">
        <v>179</v>
      </c>
      <c r="K23" s="67">
        <v>8.1999999999999993</v>
      </c>
      <c r="L23" s="67">
        <v>0.629</v>
      </c>
      <c r="M23" s="41">
        <v>279</v>
      </c>
      <c r="N23" s="42">
        <v>25</v>
      </c>
      <c r="O23" s="43">
        <v>4.7</v>
      </c>
      <c r="P23" s="43">
        <v>0.25</v>
      </c>
      <c r="Q23" s="61"/>
      <c r="R23" s="61">
        <v>7.4</v>
      </c>
      <c r="S23" s="57">
        <f t="shared" si="0"/>
        <v>1.6020156269342517E-4</v>
      </c>
      <c r="T23" s="57">
        <f t="shared" si="1"/>
        <v>0.80842357403064025</v>
      </c>
      <c r="U23" s="57">
        <f t="shared" si="2"/>
        <v>0.15090285948130339</v>
      </c>
      <c r="V23" s="57">
        <f t="shared" si="3"/>
        <v>0.43242131248714255</v>
      </c>
      <c r="W23" s="57">
        <f t="shared" si="4"/>
        <v>7.7863325938492318</v>
      </c>
      <c r="X23" s="57">
        <f t="shared" si="5"/>
        <v>0.25577043044291947</v>
      </c>
      <c r="Y23" s="57">
        <f t="shared" si="6"/>
        <v>7.1787263181921938E-3</v>
      </c>
      <c r="Z23" s="58">
        <f t="shared" si="7"/>
        <v>0.53489448647715121</v>
      </c>
      <c r="AA23" s="58">
        <f t="shared" si="8"/>
        <v>8.8799072031020606E-3</v>
      </c>
      <c r="AB23" s="58">
        <f t="shared" si="9"/>
        <v>1.6601231509387374E-2</v>
      </c>
      <c r="AC23" s="62">
        <f t="shared" si="12"/>
        <v>7.8702397743300425</v>
      </c>
      <c r="AD23" s="62">
        <f t="shared" si="13"/>
        <v>0.26026484550678769</v>
      </c>
      <c r="AE23" s="53">
        <f t="shared" si="14"/>
        <v>7.5801561189600672E-2</v>
      </c>
      <c r="AF23" s="53">
        <f t="shared" si="10"/>
        <v>-0.27173187865179521</v>
      </c>
      <c r="AG23" s="53">
        <f t="shared" si="10"/>
        <v>-2.0515915726663643</v>
      </c>
    </row>
    <row r="24" spans="1:33" ht="15.75" customHeight="1" x14ac:dyDescent="0.55000000000000004">
      <c r="A24" s="65">
        <v>39176</v>
      </c>
      <c r="B24" s="53" t="s">
        <v>99</v>
      </c>
      <c r="C24" s="57" t="s">
        <v>100</v>
      </c>
      <c r="D24" s="60"/>
      <c r="E24" s="57">
        <v>1.0171370967741935</v>
      </c>
      <c r="F24" s="67">
        <v>2.3E-2</v>
      </c>
      <c r="G24" s="67">
        <v>28.7</v>
      </c>
      <c r="H24" s="67">
        <v>6.3</v>
      </c>
      <c r="I24" s="67">
        <v>10.76</v>
      </c>
      <c r="J24" s="67">
        <v>182</v>
      </c>
      <c r="K24" s="67">
        <v>8.6</v>
      </c>
      <c r="L24" s="67">
        <v>0.64400000000000002</v>
      </c>
      <c r="M24" s="41">
        <v>281</v>
      </c>
      <c r="N24" s="42">
        <v>25</v>
      </c>
      <c r="O24" s="43">
        <v>4.4000000000000004</v>
      </c>
      <c r="P24" s="43">
        <v>0.16666666666666666</v>
      </c>
      <c r="Q24" s="61"/>
      <c r="R24" s="61">
        <v>7.4</v>
      </c>
      <c r="S24" s="57">
        <f t="shared" si="0"/>
        <v>1.6748345190676267E-4</v>
      </c>
      <c r="T24" s="57">
        <f t="shared" si="1"/>
        <v>0.71610359798393131</v>
      </c>
      <c r="U24" s="57">
        <f t="shared" si="2"/>
        <v>0.16113356181901886</v>
      </c>
      <c r="V24" s="57">
        <f t="shared" si="3"/>
        <v>0.44270726188027154</v>
      </c>
      <c r="W24" s="57">
        <f t="shared" si="4"/>
        <v>7.9168297881595553</v>
      </c>
      <c r="X24" s="57">
        <f t="shared" si="5"/>
        <v>0.26824703680598877</v>
      </c>
      <c r="Y24" s="57">
        <f t="shared" si="6"/>
        <v>7.3499201095640274E-3</v>
      </c>
      <c r="Z24" s="58">
        <f t="shared" si="7"/>
        <v>0.61821678193858964</v>
      </c>
      <c r="AA24" s="58">
        <f t="shared" si="8"/>
        <v>1.0263766486101293E-2</v>
      </c>
      <c r="AB24" s="58">
        <f>AA24/Z24</f>
        <v>1.6602212663843281E-2</v>
      </c>
      <c r="AC24" s="62">
        <f t="shared" si="12"/>
        <v>7.926657263751764</v>
      </c>
      <c r="AD24" s="62">
        <f t="shared" si="13"/>
        <v>0.26026484550678769</v>
      </c>
      <c r="AE24" s="53">
        <f t="shared" si="14"/>
        <v>7.0963163666860202E-2</v>
      </c>
      <c r="AF24" s="53">
        <f t="shared" si="10"/>
        <v>-0.20885920987704723</v>
      </c>
      <c r="AG24" s="53">
        <f t="shared" si="10"/>
        <v>-1.988693237279201</v>
      </c>
    </row>
    <row r="25" spans="1:33" ht="16.5" customHeight="1" x14ac:dyDescent="0.55000000000000004">
      <c r="A25" s="65">
        <v>39204</v>
      </c>
      <c r="B25" s="53" t="s">
        <v>101</v>
      </c>
      <c r="C25" s="57" t="s">
        <v>102</v>
      </c>
      <c r="D25" s="66"/>
      <c r="E25" s="57">
        <v>1.02910994764398</v>
      </c>
      <c r="F25" s="57"/>
      <c r="G25" s="57"/>
      <c r="H25" s="57"/>
      <c r="I25" s="57"/>
      <c r="J25" s="57"/>
      <c r="K25" s="57"/>
      <c r="L25" s="57"/>
      <c r="M25" s="41">
        <v>289</v>
      </c>
      <c r="N25" s="42">
        <v>26</v>
      </c>
      <c r="O25" s="43">
        <v>11.7</v>
      </c>
      <c r="P25" s="43">
        <v>0.16666666666666666</v>
      </c>
      <c r="Q25" s="61"/>
      <c r="R25" s="61"/>
      <c r="S25" s="57">
        <f t="shared" si="0"/>
        <v>0</v>
      </c>
      <c r="T25" s="57">
        <f t="shared" si="1"/>
        <v>0</v>
      </c>
      <c r="U25" s="57">
        <f t="shared" si="2"/>
        <v>0</v>
      </c>
      <c r="V25" s="57">
        <f t="shared" si="3"/>
        <v>0</v>
      </c>
      <c r="W25" s="57">
        <f t="shared" si="4"/>
        <v>0</v>
      </c>
      <c r="X25" s="57">
        <f t="shared" si="5"/>
        <v>0</v>
      </c>
      <c r="Y25" s="57">
        <f t="shared" si="6"/>
        <v>0</v>
      </c>
      <c r="Z25" s="58"/>
      <c r="AA25" s="58"/>
      <c r="AB25" s="58">
        <f>AA25/Z26</f>
        <v>0</v>
      </c>
      <c r="AC25" s="62">
        <f>(M25/35450)*1000</f>
        <v>8.1523272214386466</v>
      </c>
      <c r="AD25" s="62">
        <f t="shared" si="13"/>
        <v>0.27067543932705923</v>
      </c>
      <c r="AE25" s="53">
        <f>(O25/62004)*1000</f>
        <v>0.18869750338687827</v>
      </c>
      <c r="AF25" s="53"/>
      <c r="AG25" s="53"/>
    </row>
    <row r="26" spans="1:33" ht="15" customHeight="1" x14ac:dyDescent="0.55000000000000004">
      <c r="A26" s="65">
        <v>39234</v>
      </c>
      <c r="B26" s="53" t="s">
        <v>103</v>
      </c>
      <c r="C26" s="57" t="s">
        <v>104</v>
      </c>
      <c r="D26" s="66"/>
      <c r="E26" s="57">
        <v>1.0269847477512699</v>
      </c>
      <c r="F26" s="67">
        <v>2.5000000000000001E-2</v>
      </c>
      <c r="G26" s="67">
        <v>27.9</v>
      </c>
      <c r="H26" s="67">
        <v>6.5</v>
      </c>
      <c r="I26" s="67">
        <v>10.62</v>
      </c>
      <c r="J26" s="67">
        <v>187</v>
      </c>
      <c r="K26" s="67">
        <v>8.6</v>
      </c>
      <c r="L26" s="67">
        <v>0.61299999999999999</v>
      </c>
      <c r="M26" s="41">
        <v>294</v>
      </c>
      <c r="N26" s="42">
        <v>27</v>
      </c>
      <c r="O26" s="43">
        <v>5.7</v>
      </c>
      <c r="P26" s="43">
        <v>0.125</v>
      </c>
      <c r="Q26" s="61"/>
      <c r="R26" s="61"/>
      <c r="S26" s="57">
        <f t="shared" si="0"/>
        <v>1.8204723033343772E-4</v>
      </c>
      <c r="T26" s="57">
        <f t="shared" si="1"/>
        <v>0.69614252208194016</v>
      </c>
      <c r="U26" s="57">
        <f t="shared" si="2"/>
        <v>0.16624891298787661</v>
      </c>
      <c r="V26" s="57">
        <f t="shared" si="3"/>
        <v>0.43694713022011927</v>
      </c>
      <c r="W26" s="57">
        <f t="shared" si="4"/>
        <v>8.1343251120100923</v>
      </c>
      <c r="X26" s="57">
        <f t="shared" si="5"/>
        <v>0.26824703680598877</v>
      </c>
      <c r="Y26" s="57">
        <f t="shared" si="6"/>
        <v>6.9961196073955716E-3</v>
      </c>
      <c r="Z26" s="58">
        <f>V26/T26</f>
        <v>0.62766907114558934</v>
      </c>
      <c r="AA26" s="58">
        <f>Y26/T26</f>
        <v>1.0049838051082428E-2</v>
      </c>
      <c r="AB26" s="58">
        <f>AA26/Z26</f>
        <v>1.601136412973158E-2</v>
      </c>
      <c r="AC26" s="62">
        <f t="shared" si="12"/>
        <v>8.2933709449929474</v>
      </c>
      <c r="AD26" s="62">
        <f t="shared" si="13"/>
        <v>0.28108603314733077</v>
      </c>
      <c r="AE26" s="53">
        <f t="shared" si="14"/>
        <v>9.1929552932068906E-2</v>
      </c>
      <c r="AF26" s="53">
        <f t="shared" si="10"/>
        <v>-0.20226927100157255</v>
      </c>
      <c r="AG26" s="53">
        <f t="shared" si="10"/>
        <v>-1.9978409366602035</v>
      </c>
    </row>
    <row r="27" spans="1:33" ht="16.5" customHeight="1" x14ac:dyDescent="0.55000000000000004">
      <c r="A27" s="65">
        <v>39265</v>
      </c>
      <c r="B27" s="53"/>
      <c r="C27" s="57" t="s">
        <v>105</v>
      </c>
      <c r="D27" s="66"/>
      <c r="E27" s="57">
        <v>1.0173333333333332</v>
      </c>
      <c r="F27" s="67">
        <v>2.4E-2</v>
      </c>
      <c r="G27" s="67">
        <v>28.8</v>
      </c>
      <c r="H27" s="67">
        <v>7</v>
      </c>
      <c r="I27" s="67">
        <v>11.15</v>
      </c>
      <c r="J27" s="67">
        <v>202</v>
      </c>
      <c r="K27" s="67">
        <v>9.1</v>
      </c>
      <c r="L27" s="67">
        <v>0.63</v>
      </c>
      <c r="M27" s="53"/>
      <c r="N27" s="53"/>
      <c r="O27" s="53"/>
      <c r="P27" s="53">
        <v>0</v>
      </c>
      <c r="Q27" s="61"/>
      <c r="R27" s="61"/>
      <c r="S27" s="57">
        <f t="shared" si="0"/>
        <v>1.747653411201002E-4</v>
      </c>
      <c r="T27" s="57">
        <f t="shared" si="1"/>
        <v>0.71859873247168027</v>
      </c>
      <c r="U27" s="57">
        <f>(H27/39098)*1000</f>
        <v>0.17903729091002099</v>
      </c>
      <c r="V27" s="57">
        <f t="shared" si="3"/>
        <v>0.45875334293355274</v>
      </c>
      <c r="W27" s="57">
        <f t="shared" si="4"/>
        <v>8.7868110835617035</v>
      </c>
      <c r="X27" s="57">
        <f t="shared" si="5"/>
        <v>0.28384279475982532</v>
      </c>
      <c r="Y27" s="57">
        <f t="shared" si="6"/>
        <v>7.1901392376169824E-3</v>
      </c>
      <c r="Z27" s="58">
        <f>V27/T27</f>
        <v>0.63839987771149043</v>
      </c>
      <c r="AA27" s="58">
        <f>Y27/T27</f>
        <v>1.00057777904588E-2</v>
      </c>
      <c r="AB27" s="58">
        <f>AA27/Z27</f>
        <v>1.5673213826931012E-2</v>
      </c>
      <c r="AC27" s="62"/>
      <c r="AD27" s="62"/>
      <c r="AE27" s="53"/>
      <c r="AF27" s="53">
        <f t="shared" si="10"/>
        <v>-0.19490720484847673</v>
      </c>
      <c r="AG27" s="53">
        <f t="shared" si="10"/>
        <v>-1.99974914621067</v>
      </c>
    </row>
    <row r="28" spans="1:33" ht="18" customHeight="1" x14ac:dyDescent="0.55000000000000004">
      <c r="A28" s="65">
        <v>39300</v>
      </c>
      <c r="B28" s="53"/>
      <c r="C28" s="57"/>
      <c r="D28" s="66"/>
      <c r="E28" s="57"/>
      <c r="F28" s="57"/>
      <c r="G28" s="57"/>
      <c r="H28" s="57"/>
      <c r="I28" s="57"/>
      <c r="J28" s="57"/>
      <c r="K28" s="57"/>
      <c r="L28" s="57"/>
      <c r="M28" s="53"/>
      <c r="N28" s="53"/>
      <c r="O28" s="53"/>
      <c r="P28" s="53">
        <v>0</v>
      </c>
      <c r="Q28" s="61" t="s">
        <v>56</v>
      </c>
      <c r="R28" s="61" t="s">
        <v>56</v>
      </c>
      <c r="S28" s="57">
        <f t="shared" si="0"/>
        <v>0</v>
      </c>
      <c r="T28" s="57">
        <f t="shared" si="1"/>
        <v>0</v>
      </c>
      <c r="U28" s="57"/>
      <c r="V28" s="57">
        <f t="shared" si="3"/>
        <v>0</v>
      </c>
      <c r="W28" s="57">
        <f t="shared" si="4"/>
        <v>0</v>
      </c>
      <c r="X28" s="57">
        <f t="shared" si="5"/>
        <v>0</v>
      </c>
      <c r="Y28" s="57">
        <f t="shared" si="6"/>
        <v>0</v>
      </c>
      <c r="Z28" s="58"/>
      <c r="AA28" s="58"/>
      <c r="AB28" s="58"/>
      <c r="AC28" s="62"/>
      <c r="AD28" s="62"/>
      <c r="AE28" s="62"/>
      <c r="AF28" s="32"/>
      <c r="AG28" s="32"/>
    </row>
    <row r="29" spans="1:33" ht="17.25" customHeight="1" x14ac:dyDescent="0.55000000000000004">
      <c r="A29" s="59"/>
      <c r="B29" s="53"/>
      <c r="C29" s="57"/>
      <c r="D29" s="60"/>
      <c r="E29" s="57"/>
      <c r="F29" s="57"/>
      <c r="G29" s="57"/>
      <c r="H29" s="57"/>
      <c r="I29" s="57"/>
      <c r="J29" s="57"/>
      <c r="K29" s="57"/>
      <c r="L29" s="57"/>
      <c r="M29" s="53"/>
      <c r="N29" s="53"/>
      <c r="O29" s="53"/>
      <c r="P29" s="53">
        <v>0</v>
      </c>
      <c r="Q29" s="61"/>
      <c r="R29" s="61"/>
      <c r="S29" s="57"/>
      <c r="T29" s="57"/>
      <c r="U29" s="57"/>
      <c r="V29" s="57"/>
      <c r="W29" s="57"/>
      <c r="X29" s="57"/>
      <c r="Y29" s="57"/>
      <c r="Z29" s="58"/>
      <c r="AA29" s="58"/>
      <c r="AB29" s="58"/>
      <c r="AC29" s="62"/>
      <c r="AD29" s="62"/>
      <c r="AE29" s="62"/>
      <c r="AF29" s="32"/>
      <c r="AG29" s="32"/>
    </row>
    <row r="30" spans="1:33" ht="17.25" customHeight="1" x14ac:dyDescent="0.55000000000000004">
      <c r="A30" s="74">
        <v>39358</v>
      </c>
      <c r="B30" s="32"/>
      <c r="C30" s="32"/>
      <c r="D30" s="32"/>
      <c r="E30" s="57"/>
      <c r="F30" s="57"/>
      <c r="G30" s="57"/>
      <c r="H30" s="57"/>
      <c r="I30" s="57"/>
      <c r="J30" s="57"/>
      <c r="K30" s="57"/>
      <c r="L30" s="57"/>
      <c r="M30" s="53"/>
      <c r="N30" s="53"/>
      <c r="O30" s="53"/>
      <c r="P30" s="53">
        <v>0</v>
      </c>
      <c r="Q30" s="61" t="s">
        <v>56</v>
      </c>
      <c r="R30" s="61" t="s">
        <v>56</v>
      </c>
      <c r="S30" s="57"/>
      <c r="T30" s="57"/>
      <c r="U30" s="57"/>
      <c r="V30" s="57"/>
      <c r="W30" s="57"/>
      <c r="X30" s="57"/>
      <c r="Y30" s="57"/>
      <c r="Z30" s="58"/>
      <c r="AA30" s="58"/>
      <c r="AB30" s="58"/>
      <c r="AC30" s="62"/>
      <c r="AD30" s="62"/>
      <c r="AE30" s="62"/>
      <c r="AF30" s="32"/>
      <c r="AG30" s="32"/>
    </row>
    <row r="31" spans="1:33" ht="15.75" customHeight="1" x14ac:dyDescent="0.55000000000000004">
      <c r="A31" s="74">
        <v>39388</v>
      </c>
      <c r="B31" s="32"/>
      <c r="C31" s="32"/>
      <c r="D31" s="32"/>
      <c r="E31" s="57"/>
      <c r="F31" s="57"/>
      <c r="G31" s="57"/>
      <c r="H31" s="57"/>
      <c r="I31" s="57"/>
      <c r="J31" s="57"/>
      <c r="K31" s="57"/>
      <c r="L31" s="57"/>
      <c r="M31" s="53"/>
      <c r="N31" s="53"/>
      <c r="O31" s="53"/>
      <c r="P31" s="53"/>
      <c r="Q31" s="61" t="s">
        <v>56</v>
      </c>
      <c r="R31" s="61" t="s">
        <v>56</v>
      </c>
      <c r="S31" s="57"/>
      <c r="T31" s="57"/>
      <c r="U31" s="57"/>
      <c r="V31" s="57"/>
      <c r="W31" s="57"/>
      <c r="X31" s="57"/>
      <c r="Y31" s="57"/>
      <c r="Z31" s="58"/>
      <c r="AA31" s="58"/>
      <c r="AB31" s="58"/>
      <c r="AC31" s="62"/>
      <c r="AD31" s="62"/>
      <c r="AE31" s="62"/>
      <c r="AF31" s="32"/>
      <c r="AG31" s="32"/>
    </row>
    <row r="33" spans="20:30" x14ac:dyDescent="0.55000000000000004">
      <c r="T33">
        <f>MEDIAN(T4:T28)</f>
        <v>1.1826937471929735</v>
      </c>
      <c r="U33">
        <f>MEDIAN(U4:U28)</f>
        <v>0.15729704844237558</v>
      </c>
      <c r="V33">
        <f>MEDIAN(V4:V28)</f>
        <v>0.46615922649660568</v>
      </c>
      <c r="Y33">
        <f>MEDIAN(Y4:Y28)</f>
        <v>8.0689340333257257E-3</v>
      </c>
      <c r="AC33">
        <f>MEDIAN(AC4:AC28)</f>
        <v>8.0677009873060648</v>
      </c>
      <c r="AD33">
        <f>MEDIAN(AD4:AD28)</f>
        <v>0.2451668597901224</v>
      </c>
    </row>
    <row r="34" spans="20:30" x14ac:dyDescent="0.55000000000000004">
      <c r="T34">
        <f>_xlfn.STDEV.S(T4:T28)</f>
        <v>0.58506493195166354</v>
      </c>
      <c r="U34">
        <f>_xlfn.STDEV.S(U4:U28)</f>
        <v>3.3415461906275798E-2</v>
      </c>
      <c r="V34">
        <f>_xlfn.STDEV.S(V4:V28)</f>
        <v>0.13817851672212289</v>
      </c>
      <c r="Y34">
        <f>_xlfn.STDEV.S(Y4:Y28)</f>
        <v>2.4959333745062881E-3</v>
      </c>
      <c r="AC34">
        <f>_xlfn.STDEV.S(AC4:AC28)</f>
        <v>0.605661556086875</v>
      </c>
      <c r="AD34">
        <f>_xlfn.STDEV.S(AD4:AD28)</f>
        <v>1.6016321121237517E-2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6"/>
  <sheetViews>
    <sheetView topLeftCell="M1" zoomScale="70" zoomScaleNormal="70" workbookViewId="0">
      <selection activeCell="AK13" sqref="AK13"/>
    </sheetView>
  </sheetViews>
  <sheetFormatPr defaultColWidth="8.83984375" defaultRowHeight="14.4" x14ac:dyDescent="0.55000000000000004"/>
  <cols>
    <col min="1" max="1" width="19.83984375" style="32" bestFit="1" customWidth="1"/>
    <col min="2" max="2" width="13.26171875" style="32" customWidth="1"/>
    <col min="3" max="3" width="12.15625" style="32" customWidth="1"/>
    <col min="4" max="4" width="24.26171875" style="57" customWidth="1"/>
    <col min="5" max="5" width="11.41796875" style="57" customWidth="1"/>
    <col min="6" max="6" width="12.26171875" style="57" customWidth="1"/>
    <col min="7" max="7" width="10.83984375" style="57" customWidth="1"/>
    <col min="8" max="8" width="10.41796875" style="57" customWidth="1"/>
    <col min="9" max="9" width="12.83984375" style="57" customWidth="1"/>
    <col min="10" max="10" width="11.41796875" style="57" customWidth="1"/>
    <col min="11" max="11" width="11.68359375" style="57" customWidth="1"/>
    <col min="12" max="12" width="11.26171875" style="57" customWidth="1"/>
    <col min="13" max="13" width="8.41796875" style="53" bestFit="1" customWidth="1"/>
    <col min="14" max="14" width="12.41796875" style="53" customWidth="1"/>
    <col min="15" max="15" width="10.41796875" style="53" bestFit="1" customWidth="1"/>
    <col min="16" max="16" width="25.41796875" style="53" customWidth="1"/>
    <col min="17" max="17" width="17.83984375" style="13" customWidth="1"/>
    <col min="18" max="18" width="8.83984375" style="13"/>
    <col min="19" max="19" width="12.15625" style="80" customWidth="1"/>
    <col min="20" max="20" width="16.83984375" style="57" customWidth="1"/>
    <col min="21" max="22" width="12.41796875" style="57" customWidth="1"/>
    <col min="23" max="23" width="16.26171875" style="57" customWidth="1"/>
    <col min="24" max="24" width="14.68359375" style="57" customWidth="1"/>
    <col min="25" max="25" width="13" style="57" customWidth="1"/>
    <col min="26" max="26" width="15.68359375" style="57" customWidth="1"/>
    <col min="27" max="29" width="8.83984375" style="58"/>
    <col min="30" max="30" width="10.41796875" style="53" customWidth="1"/>
    <col min="31" max="31" width="13.26171875" style="53" customWidth="1"/>
    <col min="32" max="32" width="11.26171875" style="53" customWidth="1"/>
    <col min="33" max="34" width="12.15625" style="53" customWidth="1"/>
    <col min="35" max="16384" width="8.83984375" style="32"/>
  </cols>
  <sheetData>
    <row r="1" spans="1:34" ht="11.25" customHeight="1" x14ac:dyDescent="0.55000000000000004">
      <c r="A1" s="26" t="s">
        <v>16</v>
      </c>
      <c r="B1" s="28"/>
      <c r="C1" s="29"/>
      <c r="D1" s="29"/>
      <c r="E1" s="29"/>
      <c r="F1" s="29"/>
      <c r="G1" s="29"/>
      <c r="H1" s="29"/>
      <c r="I1" s="29"/>
      <c r="J1" s="29"/>
      <c r="K1" s="29"/>
      <c r="L1" s="29"/>
      <c r="M1" s="28"/>
      <c r="N1" s="28"/>
      <c r="O1" s="28"/>
      <c r="P1" s="28"/>
      <c r="S1" s="77"/>
      <c r="T1" s="29"/>
      <c r="U1" s="29"/>
      <c r="V1" s="29"/>
      <c r="W1" s="29"/>
      <c r="X1" s="29"/>
      <c r="Y1" s="29"/>
      <c r="Z1" s="29"/>
      <c r="AA1" s="31"/>
      <c r="AB1" s="31"/>
      <c r="AC1" s="31"/>
      <c r="AD1" s="28"/>
      <c r="AE1" s="28"/>
      <c r="AF1" s="28"/>
      <c r="AG1" s="28"/>
      <c r="AH1" s="28"/>
    </row>
    <row r="2" spans="1:34" ht="21.75" customHeight="1" x14ac:dyDescent="0.55000000000000004">
      <c r="A2" s="26"/>
      <c r="B2" s="28"/>
      <c r="C2" s="29"/>
      <c r="D2" s="29"/>
      <c r="E2" s="29"/>
      <c r="F2" s="29"/>
      <c r="G2" s="29"/>
      <c r="H2" s="29"/>
      <c r="I2" s="29"/>
      <c r="J2" s="29"/>
      <c r="K2" s="29"/>
      <c r="L2" s="29"/>
      <c r="M2" s="28"/>
      <c r="N2" s="28"/>
      <c r="O2" s="28"/>
      <c r="P2" s="28"/>
      <c r="S2" s="77"/>
      <c r="T2" s="29"/>
      <c r="U2" s="29"/>
      <c r="V2" s="29"/>
      <c r="W2" s="29"/>
      <c r="X2" s="29"/>
      <c r="Y2" s="29"/>
      <c r="Z2" s="29"/>
      <c r="AA2" s="31"/>
      <c r="AB2" s="31"/>
      <c r="AC2" s="31"/>
      <c r="AD2" s="28"/>
      <c r="AE2" s="28"/>
      <c r="AF2" s="28"/>
      <c r="AG2" s="28" t="s">
        <v>57</v>
      </c>
      <c r="AH2" s="28" t="s">
        <v>57</v>
      </c>
    </row>
    <row r="3" spans="1:34" ht="19.5" customHeight="1" x14ac:dyDescent="0.55000000000000004">
      <c r="A3" s="26" t="s">
        <v>1</v>
      </c>
      <c r="B3" s="28" t="s">
        <v>106</v>
      </c>
      <c r="C3" s="29" t="s">
        <v>107</v>
      </c>
      <c r="D3" s="29" t="s">
        <v>2</v>
      </c>
      <c r="E3" s="33" t="s">
        <v>3</v>
      </c>
      <c r="F3" s="33" t="s">
        <v>4</v>
      </c>
      <c r="G3" s="33" t="s">
        <v>108</v>
      </c>
      <c r="H3" s="33" t="s">
        <v>5</v>
      </c>
      <c r="I3" s="33" t="s">
        <v>6</v>
      </c>
      <c r="J3" s="33" t="s">
        <v>7</v>
      </c>
      <c r="K3" s="33" t="s">
        <v>8</v>
      </c>
      <c r="L3" s="33" t="s">
        <v>9</v>
      </c>
      <c r="M3" s="34" t="s">
        <v>109</v>
      </c>
      <c r="N3" s="34" t="s">
        <v>110</v>
      </c>
      <c r="O3" s="34" t="s">
        <v>111</v>
      </c>
      <c r="P3" s="3" t="s">
        <v>112</v>
      </c>
      <c r="Q3" s="13" t="s">
        <v>113</v>
      </c>
      <c r="R3" s="13" t="s">
        <v>44</v>
      </c>
      <c r="S3" s="77" t="s">
        <v>60</v>
      </c>
      <c r="T3" s="35" t="s">
        <v>114</v>
      </c>
      <c r="U3" s="36" t="s">
        <v>10</v>
      </c>
      <c r="V3" s="36" t="s">
        <v>11</v>
      </c>
      <c r="W3" s="36" t="s">
        <v>12</v>
      </c>
      <c r="X3" s="36" t="s">
        <v>13</v>
      </c>
      <c r="Y3" s="36" t="s">
        <v>14</v>
      </c>
      <c r="Z3" s="36" t="s">
        <v>15</v>
      </c>
      <c r="AA3" s="31" t="s">
        <v>62</v>
      </c>
      <c r="AB3" s="31" t="s">
        <v>63</v>
      </c>
      <c r="AC3" s="31" t="s">
        <v>115</v>
      </c>
      <c r="AD3" s="34" t="s">
        <v>109</v>
      </c>
      <c r="AE3" s="34" t="s">
        <v>110</v>
      </c>
      <c r="AF3" s="34" t="s">
        <v>111</v>
      </c>
      <c r="AG3" s="34" t="s">
        <v>116</v>
      </c>
      <c r="AH3" s="34" t="s">
        <v>117</v>
      </c>
    </row>
    <row r="4" spans="1:34" ht="17.25" customHeight="1" x14ac:dyDescent="0.55000000000000004">
      <c r="A4" s="37">
        <v>38596</v>
      </c>
      <c r="B4" s="28"/>
      <c r="C4" s="29" t="s">
        <v>118</v>
      </c>
      <c r="D4" s="29">
        <v>1.0276578363869762</v>
      </c>
      <c r="E4" s="38">
        <v>4.1000000000000002E-2</v>
      </c>
      <c r="F4" s="38">
        <v>48.7</v>
      </c>
      <c r="G4" s="38" t="s">
        <v>119</v>
      </c>
      <c r="H4" s="38">
        <v>1.6</v>
      </c>
      <c r="I4" s="38">
        <v>7.1</v>
      </c>
      <c r="J4" s="38">
        <v>56.9</v>
      </c>
      <c r="K4" s="38">
        <v>3.3</v>
      </c>
      <c r="L4" s="38">
        <v>0.38200000000000001</v>
      </c>
      <c r="M4" s="34"/>
      <c r="N4" s="34"/>
      <c r="O4" s="34"/>
      <c r="P4" s="34">
        <v>0.5</v>
      </c>
      <c r="S4" s="77"/>
      <c r="T4" s="29">
        <f>(E4/137327)*1000</f>
        <v>2.9855745774683785E-4</v>
      </c>
      <c r="U4" s="29">
        <f>(F4/40078)*1000</f>
        <v>1.2151304955337094</v>
      </c>
      <c r="V4" s="29">
        <f t="shared" ref="V4:V48" si="0">(H4/39098)*1000</f>
        <v>4.0922809350861934E-2</v>
      </c>
      <c r="W4" s="29">
        <f t="shared" ref="W4:W52" si="1">(I4/24305)*1000</f>
        <v>0.29212096276486321</v>
      </c>
      <c r="X4" s="29">
        <f t="shared" ref="X4:X48" si="2">(J4/22989)*1000</f>
        <v>2.4750967854191135</v>
      </c>
      <c r="Y4" s="29">
        <f t="shared" ref="Y4:Y48" si="3">(K4/32060)*1000</f>
        <v>0.10293200249532126</v>
      </c>
      <c r="Z4" s="29">
        <f t="shared" ref="Z4:Z48" si="4">(L4/87620)*1000</f>
        <v>4.3597352202693444E-3</v>
      </c>
      <c r="AA4" s="31">
        <f t="shared" ref="AA4:AA14" si="5">W4/U4</f>
        <v>0.24040295576365886</v>
      </c>
      <c r="AB4" s="31">
        <f t="shared" ref="AB4:AB14" si="6">Z4/U4</f>
        <v>3.587874089485724E-3</v>
      </c>
      <c r="AC4" s="31">
        <f>AA4/AB4</f>
        <v>67.004289940987746</v>
      </c>
      <c r="AD4" s="28"/>
      <c r="AE4" s="28"/>
      <c r="AF4" s="28"/>
      <c r="AG4" s="28">
        <f>LOG10(AA4)</f>
        <v>-0.6190601969689844</v>
      </c>
      <c r="AH4" s="28">
        <f>LOG10(AB4)</f>
        <v>-2.4451628062079465</v>
      </c>
    </row>
    <row r="5" spans="1:34" ht="19.5" customHeight="1" x14ac:dyDescent="0.55000000000000004">
      <c r="A5" s="37">
        <v>38628</v>
      </c>
      <c r="B5" s="28"/>
      <c r="C5" s="29" t="s">
        <v>120</v>
      </c>
      <c r="D5" s="29">
        <v>1.0281784886762837</v>
      </c>
      <c r="E5" s="38">
        <v>2.4E-2</v>
      </c>
      <c r="F5" s="38">
        <v>47.9</v>
      </c>
      <c r="G5" s="38" t="s">
        <v>119</v>
      </c>
      <c r="H5" s="38">
        <v>1.6</v>
      </c>
      <c r="I5" s="38">
        <v>7.31</v>
      </c>
      <c r="J5" s="38">
        <v>60.9</v>
      </c>
      <c r="K5" s="38">
        <v>3.4</v>
      </c>
      <c r="L5" s="38">
        <v>0.39300000000000002</v>
      </c>
      <c r="M5" s="28"/>
      <c r="N5" s="28"/>
      <c r="O5" s="28"/>
      <c r="P5" s="28">
        <v>0.75</v>
      </c>
      <c r="S5" s="77"/>
      <c r="T5" s="29">
        <f t="shared" ref="T5:T52" si="7">(E5/137327)*1000</f>
        <v>1.747653411201002E-4</v>
      </c>
      <c r="U5" s="29">
        <f t="shared" ref="U5:U52" si="8">(F5/40078)*1000</f>
        <v>1.1951694196317182</v>
      </c>
      <c r="V5" s="29">
        <f t="shared" si="0"/>
        <v>4.0922809350861934E-2</v>
      </c>
      <c r="W5" s="29">
        <f t="shared" si="1"/>
        <v>0.30076116025509153</v>
      </c>
      <c r="X5" s="29">
        <f t="shared" si="2"/>
        <v>2.6490930444995433</v>
      </c>
      <c r="Y5" s="29">
        <f t="shared" si="3"/>
        <v>0.10605115408608858</v>
      </c>
      <c r="Z5" s="29">
        <f t="shared" si="4"/>
        <v>4.4852773339420227E-3</v>
      </c>
      <c r="AA5" s="31">
        <f t="shared" si="5"/>
        <v>0.25164730231113902</v>
      </c>
      <c r="AB5" s="31">
        <f t="shared" si="6"/>
        <v>3.7528380999943293E-3</v>
      </c>
      <c r="AC5" s="31">
        <f t="shared" ref="AC5:AC14" si="9">AA5/AB5</f>
        <v>67.055198120995215</v>
      </c>
      <c r="AD5" s="28"/>
      <c r="AE5" s="28"/>
      <c r="AF5" s="28"/>
      <c r="AG5" s="28">
        <f t="shared" ref="AG5:AH48" si="10">LOG10(AA5)</f>
        <v>-0.59920772093012808</v>
      </c>
      <c r="AH5" s="28">
        <f t="shared" si="10"/>
        <v>-2.4256401709441575</v>
      </c>
    </row>
    <row r="6" spans="1:34" ht="18.75" customHeight="1" x14ac:dyDescent="0.55000000000000004">
      <c r="A6" s="37">
        <v>38658</v>
      </c>
      <c r="B6" s="28"/>
      <c r="C6" s="29" t="s">
        <v>121</v>
      </c>
      <c r="D6" s="29">
        <v>1.0275469375192368</v>
      </c>
      <c r="E6" s="38">
        <v>0.01</v>
      </c>
      <c r="F6" s="38">
        <v>45.1</v>
      </c>
      <c r="G6" s="38" t="s">
        <v>119</v>
      </c>
      <c r="H6" s="38">
        <v>1.6</v>
      </c>
      <c r="I6" s="38">
        <v>7.16</v>
      </c>
      <c r="J6" s="38">
        <v>58.4</v>
      </c>
      <c r="K6" s="38">
        <v>3.3</v>
      </c>
      <c r="L6" s="38">
        <v>0.38900000000000001</v>
      </c>
      <c r="M6" s="28"/>
      <c r="N6" s="28"/>
      <c r="O6" s="28"/>
      <c r="P6" s="28">
        <v>0.8</v>
      </c>
      <c r="S6" s="77"/>
      <c r="T6" s="29">
        <f t="shared" si="7"/>
        <v>7.2818892133375088E-5</v>
      </c>
      <c r="U6" s="29">
        <f t="shared" si="8"/>
        <v>1.1253056539747492</v>
      </c>
      <c r="V6" s="29">
        <f t="shared" si="0"/>
        <v>4.0922809350861934E-2</v>
      </c>
      <c r="W6" s="29">
        <f t="shared" si="1"/>
        <v>0.29458959061921419</v>
      </c>
      <c r="X6" s="29">
        <f t="shared" si="2"/>
        <v>2.5403453825742748</v>
      </c>
      <c r="Y6" s="29">
        <f t="shared" si="3"/>
        <v>0.10293200249532126</v>
      </c>
      <c r="Z6" s="29">
        <f t="shared" si="4"/>
        <v>4.4396256562428673E-3</v>
      </c>
      <c r="AA6" s="31">
        <f t="shared" si="5"/>
        <v>0.2617862885329682</v>
      </c>
      <c r="AB6" s="31">
        <f t="shared" si="6"/>
        <v>3.9452620188669988E-3</v>
      </c>
      <c r="AC6" s="31">
        <f t="shared" si="9"/>
        <v>66.354601362610651</v>
      </c>
      <c r="AD6" s="28"/>
      <c r="AE6" s="28"/>
      <c r="AF6" s="28"/>
      <c r="AG6" s="28">
        <f t="shared" si="10"/>
        <v>-0.58205310404353017</v>
      </c>
      <c r="AH6" s="28">
        <f t="shared" si="10"/>
        <v>-2.4039241484572735</v>
      </c>
    </row>
    <row r="7" spans="1:34" ht="22.5" customHeight="1" x14ac:dyDescent="0.55000000000000004">
      <c r="A7" s="37">
        <v>38688</v>
      </c>
      <c r="B7" s="28"/>
      <c r="C7" s="29" t="s">
        <v>122</v>
      </c>
      <c r="D7" s="29">
        <v>1.0274872108116364</v>
      </c>
      <c r="E7" s="38">
        <v>2.5000000000000001E-2</v>
      </c>
      <c r="F7" s="38">
        <v>47.1</v>
      </c>
      <c r="G7" s="38" t="s">
        <v>119</v>
      </c>
      <c r="H7" s="38">
        <v>1.6</v>
      </c>
      <c r="I7" s="38">
        <v>7.12</v>
      </c>
      <c r="J7" s="38">
        <v>59.6</v>
      </c>
      <c r="K7" s="38">
        <v>3.3</v>
      </c>
      <c r="L7" s="38">
        <v>0.39</v>
      </c>
      <c r="M7" s="28"/>
      <c r="N7" s="28"/>
      <c r="O7" s="28"/>
      <c r="P7" s="28">
        <v>0.5</v>
      </c>
      <c r="S7" s="77"/>
      <c r="T7" s="29">
        <f t="shared" si="7"/>
        <v>1.8204723033343772E-4</v>
      </c>
      <c r="U7" s="29">
        <f t="shared" si="8"/>
        <v>1.1752083437297269</v>
      </c>
      <c r="V7" s="29">
        <f t="shared" si="0"/>
        <v>4.0922809350861934E-2</v>
      </c>
      <c r="W7" s="29">
        <f t="shared" si="1"/>
        <v>0.29294383871631352</v>
      </c>
      <c r="X7" s="29">
        <f t="shared" si="2"/>
        <v>2.5925442602984035</v>
      </c>
      <c r="Y7" s="29">
        <f t="shared" si="3"/>
        <v>0.10293200249532126</v>
      </c>
      <c r="Z7" s="29">
        <f t="shared" si="4"/>
        <v>4.4510385756676559E-3</v>
      </c>
      <c r="AA7" s="31">
        <f t="shared" si="5"/>
        <v>0.24926970632850137</v>
      </c>
      <c r="AB7" s="31">
        <f t="shared" si="6"/>
        <v>3.7874463701827671E-3</v>
      </c>
      <c r="AC7" s="31">
        <f t="shared" si="9"/>
        <v>65.814715764931776</v>
      </c>
      <c r="AD7" s="28"/>
      <c r="AE7" s="28"/>
      <c r="AF7" s="28"/>
      <c r="AG7" s="28">
        <f t="shared" si="10"/>
        <v>-0.60333049796546501</v>
      </c>
      <c r="AH7" s="28">
        <f t="shared" si="10"/>
        <v>-2.421653508007418</v>
      </c>
    </row>
    <row r="8" spans="1:34" ht="19.5" customHeight="1" x14ac:dyDescent="0.55000000000000004">
      <c r="A8" s="37">
        <v>38721</v>
      </c>
      <c r="B8" s="28"/>
      <c r="C8" s="29" t="s">
        <v>123</v>
      </c>
      <c r="D8" s="29">
        <v>1.0247349823321554</v>
      </c>
      <c r="E8" s="38">
        <v>2.4E-2</v>
      </c>
      <c r="F8" s="38">
        <v>48.7</v>
      </c>
      <c r="G8" s="38" t="s">
        <v>119</v>
      </c>
      <c r="H8" s="38">
        <v>1.5</v>
      </c>
      <c r="I8" s="38">
        <v>7.31</v>
      </c>
      <c r="J8" s="38">
        <v>60.2</v>
      </c>
      <c r="K8" s="38">
        <v>3.5</v>
      </c>
      <c r="L8" s="38">
        <v>0.39</v>
      </c>
      <c r="M8" s="28"/>
      <c r="N8" s="28"/>
      <c r="O8" s="28"/>
      <c r="P8" s="28">
        <v>0.75</v>
      </c>
      <c r="S8" s="77"/>
      <c r="T8" s="29">
        <f t="shared" si="7"/>
        <v>1.747653411201002E-4</v>
      </c>
      <c r="U8" s="29">
        <f t="shared" si="8"/>
        <v>1.2151304955337094</v>
      </c>
      <c r="V8" s="29">
        <f t="shared" si="0"/>
        <v>3.8365133766433065E-2</v>
      </c>
      <c r="W8" s="29">
        <f t="shared" si="1"/>
        <v>0.30076116025509153</v>
      </c>
      <c r="X8" s="29">
        <f t="shared" si="2"/>
        <v>2.6186436991604682</v>
      </c>
      <c r="Y8" s="29">
        <f t="shared" si="3"/>
        <v>0.1091703056768559</v>
      </c>
      <c r="Z8" s="29">
        <f t="shared" si="4"/>
        <v>4.4510385756676559E-3</v>
      </c>
      <c r="AA8" s="31">
        <f t="shared" si="5"/>
        <v>0.24751346572286564</v>
      </c>
      <c r="AB8" s="31">
        <f t="shared" si="6"/>
        <v>3.6630128138728599E-3</v>
      </c>
      <c r="AC8" s="31">
        <f t="shared" si="9"/>
        <v>67.571007337310562</v>
      </c>
      <c r="AD8" s="28"/>
      <c r="AE8" s="28"/>
      <c r="AF8" s="28"/>
      <c r="AG8" s="28">
        <f t="shared" si="10"/>
        <v>-0.60640116873019922</v>
      </c>
      <c r="AH8" s="28">
        <f t="shared" si="10"/>
        <v>-2.4361615620931563</v>
      </c>
    </row>
    <row r="9" spans="1:34" ht="19.5" customHeight="1" x14ac:dyDescent="0.55000000000000004">
      <c r="A9" s="37">
        <v>38749</v>
      </c>
      <c r="B9" s="28"/>
      <c r="C9" s="29" t="s">
        <v>124</v>
      </c>
      <c r="D9" s="29">
        <v>1.02534882022062</v>
      </c>
      <c r="E9" s="38">
        <v>2.9000000000000001E-2</v>
      </c>
      <c r="F9" s="38">
        <v>57.4</v>
      </c>
      <c r="G9" s="38" t="s">
        <v>119</v>
      </c>
      <c r="H9" s="38">
        <v>1.6</v>
      </c>
      <c r="I9" s="38">
        <v>7.3</v>
      </c>
      <c r="J9" s="38">
        <v>61.4</v>
      </c>
      <c r="K9" s="38">
        <v>3.4</v>
      </c>
      <c r="L9" s="38">
        <v>0.39400000000000002</v>
      </c>
      <c r="M9" s="28"/>
      <c r="N9" s="28"/>
      <c r="O9" s="28"/>
      <c r="P9" s="28">
        <v>0.5</v>
      </c>
      <c r="S9" s="77"/>
      <c r="T9" s="29">
        <f t="shared" si="7"/>
        <v>2.1117478718678777E-4</v>
      </c>
      <c r="U9" s="29">
        <f t="shared" si="8"/>
        <v>1.4322071959678626</v>
      </c>
      <c r="V9" s="29">
        <f t="shared" si="0"/>
        <v>4.0922809350861934E-2</v>
      </c>
      <c r="W9" s="29">
        <f t="shared" si="1"/>
        <v>0.30034972227936635</v>
      </c>
      <c r="X9" s="29">
        <f t="shared" si="2"/>
        <v>2.6708425768845969</v>
      </c>
      <c r="Y9" s="29">
        <f t="shared" si="3"/>
        <v>0.10605115408608858</v>
      </c>
      <c r="Z9" s="29">
        <f t="shared" si="4"/>
        <v>4.4966902533668113E-3</v>
      </c>
      <c r="AA9" s="31">
        <f t="shared" si="5"/>
        <v>0.20971108309255132</v>
      </c>
      <c r="AB9" s="31">
        <f t="shared" si="6"/>
        <v>3.1396925431086248E-3</v>
      </c>
      <c r="AC9" s="31">
        <f t="shared" si="9"/>
        <v>66.793509304868223</v>
      </c>
      <c r="AD9" s="28"/>
      <c r="AE9" s="28"/>
      <c r="AF9" s="28"/>
      <c r="AG9" s="28">
        <f t="shared" si="10"/>
        <v>-0.67837861675094291</v>
      </c>
      <c r="AH9" s="28">
        <f t="shared" si="10"/>
        <v>-2.5031128784774204</v>
      </c>
    </row>
    <row r="10" spans="1:34" ht="18.75" customHeight="1" x14ac:dyDescent="0.55000000000000004">
      <c r="A10" s="37">
        <v>38776</v>
      </c>
      <c r="B10" s="28"/>
      <c r="C10" s="29" t="s">
        <v>125</v>
      </c>
      <c r="D10" s="29">
        <v>1.0215930373471411</v>
      </c>
      <c r="E10" s="38">
        <v>2.4E-2</v>
      </c>
      <c r="F10" s="38">
        <v>58.5</v>
      </c>
      <c r="G10" s="38" t="s">
        <v>119</v>
      </c>
      <c r="H10" s="38">
        <v>1.5</v>
      </c>
      <c r="I10" s="38">
        <v>7.54</v>
      </c>
      <c r="J10" s="38">
        <v>60.8</v>
      </c>
      <c r="K10" s="38">
        <v>3.5</v>
      </c>
      <c r="L10" s="38">
        <v>0.39400000000000002</v>
      </c>
      <c r="M10" s="28"/>
      <c r="N10" s="28"/>
      <c r="O10" s="28"/>
      <c r="P10" s="28">
        <v>0.5</v>
      </c>
      <c r="S10" s="77"/>
      <c r="T10" s="29">
        <f t="shared" si="7"/>
        <v>1.747653411201002E-4</v>
      </c>
      <c r="U10" s="29">
        <f t="shared" si="8"/>
        <v>1.4596536753331004</v>
      </c>
      <c r="V10" s="29">
        <f t="shared" si="0"/>
        <v>3.8365133766433065E-2</v>
      </c>
      <c r="W10" s="29">
        <f t="shared" si="1"/>
        <v>0.31022423369677021</v>
      </c>
      <c r="X10" s="29">
        <f t="shared" si="2"/>
        <v>2.6447431380225326</v>
      </c>
      <c r="Y10" s="29">
        <f t="shared" si="3"/>
        <v>0.1091703056768559</v>
      </c>
      <c r="Z10" s="29">
        <f t="shared" si="4"/>
        <v>4.4966902533668113E-3</v>
      </c>
      <c r="AA10" s="31">
        <f t="shared" si="5"/>
        <v>0.21253276646323346</v>
      </c>
      <c r="AB10" s="31">
        <f t="shared" si="6"/>
        <v>3.0806555893065821E-3</v>
      </c>
      <c r="AC10" s="31">
        <f t="shared" si="9"/>
        <v>68.989460295713215</v>
      </c>
      <c r="AD10" s="28"/>
      <c r="AE10" s="28"/>
      <c r="AF10" s="28"/>
      <c r="AG10" s="28">
        <f t="shared" si="10"/>
        <v>-0.67257410468583168</v>
      </c>
      <c r="AH10" s="28">
        <f t="shared" si="10"/>
        <v>-2.5113568521616272</v>
      </c>
    </row>
    <row r="11" spans="1:34" ht="21" customHeight="1" x14ac:dyDescent="0.55000000000000004">
      <c r="A11" s="37">
        <v>38811</v>
      </c>
      <c r="B11" s="28"/>
      <c r="C11" s="29" t="s">
        <v>126</v>
      </c>
      <c r="D11" s="29">
        <v>1.0196302377043329</v>
      </c>
      <c r="E11" s="38">
        <v>1.0999999999999999E-2</v>
      </c>
      <c r="F11" s="38">
        <v>50.2</v>
      </c>
      <c r="G11" s="38" t="s">
        <v>119</v>
      </c>
      <c r="H11" s="38">
        <v>1.6</v>
      </c>
      <c r="I11" s="38">
        <v>7.66</v>
      </c>
      <c r="J11" s="38">
        <v>64</v>
      </c>
      <c r="K11" s="38">
        <v>3.7</v>
      </c>
      <c r="L11" s="38">
        <v>0.39900000000000002</v>
      </c>
      <c r="M11" s="28"/>
      <c r="N11" s="28"/>
      <c r="O11" s="28"/>
      <c r="P11" s="28">
        <v>0.8</v>
      </c>
      <c r="S11" s="77"/>
      <c r="T11" s="29">
        <f t="shared" si="7"/>
        <v>8.0100781346712586E-5</v>
      </c>
      <c r="U11" s="29">
        <f t="shared" si="8"/>
        <v>1.2525575128499427</v>
      </c>
      <c r="V11" s="29">
        <f t="shared" si="0"/>
        <v>4.0922809350861934E-2</v>
      </c>
      <c r="W11" s="29">
        <f t="shared" si="1"/>
        <v>0.31516148940547217</v>
      </c>
      <c r="X11" s="29">
        <f t="shared" si="2"/>
        <v>2.7839401452868762</v>
      </c>
      <c r="Y11" s="29">
        <f t="shared" si="3"/>
        <v>0.11540860885839052</v>
      </c>
      <c r="Z11" s="29">
        <f t="shared" si="4"/>
        <v>4.5537548504907552E-3</v>
      </c>
      <c r="AA11" s="31">
        <f t="shared" si="5"/>
        <v>0.25161438590423335</v>
      </c>
      <c r="AB11" s="31">
        <f t="shared" si="6"/>
        <v>3.6355654760551492E-3</v>
      </c>
      <c r="AC11" s="31">
        <f t="shared" si="9"/>
        <v>69.209147122073873</v>
      </c>
      <c r="AD11" s="28"/>
      <c r="AE11" s="28"/>
      <c r="AF11" s="28"/>
      <c r="AG11" s="28">
        <f t="shared" si="10"/>
        <v>-0.59926453198584062</v>
      </c>
      <c r="AH11" s="28">
        <f t="shared" si="10"/>
        <v>-2.4394280293632922</v>
      </c>
    </row>
    <row r="12" spans="1:34" ht="21" customHeight="1" x14ac:dyDescent="0.55000000000000004">
      <c r="A12" s="37">
        <v>38840</v>
      </c>
      <c r="B12" s="28"/>
      <c r="C12" s="29" t="s">
        <v>127</v>
      </c>
      <c r="D12" s="29">
        <v>1.0197217441193345</v>
      </c>
      <c r="E12" s="38">
        <v>2.1000000000000001E-2</v>
      </c>
      <c r="F12" s="38">
        <v>45.3</v>
      </c>
      <c r="G12" s="38" t="s">
        <v>119</v>
      </c>
      <c r="H12" s="38">
        <v>1.8</v>
      </c>
      <c r="I12" s="38">
        <v>7.96</v>
      </c>
      <c r="J12" s="38">
        <v>68</v>
      </c>
      <c r="K12" s="38">
        <v>4</v>
      </c>
      <c r="L12" s="38">
        <v>0.40799999999999997</v>
      </c>
      <c r="M12" s="28"/>
      <c r="N12" s="28"/>
      <c r="O12" s="28"/>
      <c r="P12" s="40">
        <v>0.3</v>
      </c>
      <c r="S12" s="77"/>
      <c r="T12" s="29">
        <f t="shared" si="7"/>
        <v>1.5291967348008767E-4</v>
      </c>
      <c r="U12" s="29">
        <f t="shared" si="8"/>
        <v>1.1302959229502469</v>
      </c>
      <c r="V12" s="29">
        <f t="shared" si="0"/>
        <v>4.6038160519719679E-2</v>
      </c>
      <c r="W12" s="29">
        <f t="shared" si="1"/>
        <v>0.32750462867722691</v>
      </c>
      <c r="X12" s="29">
        <f t="shared" si="2"/>
        <v>2.957936404367306</v>
      </c>
      <c r="Y12" s="29">
        <f t="shared" si="3"/>
        <v>0.12476606363069247</v>
      </c>
      <c r="Z12" s="29">
        <f t="shared" si="4"/>
        <v>4.6564711253138553E-3</v>
      </c>
      <c r="AA12" s="31">
        <f t="shared" si="5"/>
        <v>0.28975122534494263</v>
      </c>
      <c r="AB12" s="31">
        <f t="shared" si="6"/>
        <v>4.1196920476893753E-3</v>
      </c>
      <c r="AC12" s="31">
        <f t="shared" si="9"/>
        <v>70.333224423280939</v>
      </c>
      <c r="AD12" s="28"/>
      <c r="AE12" s="28"/>
      <c r="AF12" s="28"/>
      <c r="AG12" s="28">
        <f t="shared" si="10"/>
        <v>-0.53797471874858804</v>
      </c>
      <c r="AH12" s="28">
        <f t="shared" si="10"/>
        <v>-2.3851352468279727</v>
      </c>
    </row>
    <row r="13" spans="1:34" ht="24" customHeight="1" x14ac:dyDescent="0.55000000000000004">
      <c r="A13" s="37">
        <v>38868</v>
      </c>
      <c r="B13" s="28"/>
      <c r="C13" s="29" t="s">
        <v>128</v>
      </c>
      <c r="D13" s="29">
        <v>1.03381524136241</v>
      </c>
      <c r="E13" s="38">
        <v>3.2000000000000001E-2</v>
      </c>
      <c r="F13" s="38">
        <v>45.8</v>
      </c>
      <c r="G13" s="38" t="s">
        <v>119</v>
      </c>
      <c r="H13" s="38">
        <v>1.7</v>
      </c>
      <c r="I13" s="38">
        <v>8.3699999999999992</v>
      </c>
      <c r="J13" s="38">
        <v>70</v>
      </c>
      <c r="K13" s="38">
        <v>3.9</v>
      </c>
      <c r="L13" s="38">
        <v>0.42099999999999999</v>
      </c>
      <c r="M13" s="28">
        <v>144</v>
      </c>
      <c r="N13" s="28">
        <v>10.6</v>
      </c>
      <c r="O13" s="28"/>
      <c r="P13" s="28"/>
      <c r="S13" s="77"/>
      <c r="T13" s="29">
        <f t="shared" si="7"/>
        <v>2.3302045482680029E-4</v>
      </c>
      <c r="U13" s="29">
        <f t="shared" si="8"/>
        <v>1.1427715953889914</v>
      </c>
      <c r="V13" s="29">
        <f t="shared" si="0"/>
        <v>4.348048493529081E-2</v>
      </c>
      <c r="W13" s="29">
        <f t="shared" si="1"/>
        <v>0.34437358568195842</v>
      </c>
      <c r="X13" s="29">
        <f t="shared" si="2"/>
        <v>3.0449345339075209</v>
      </c>
      <c r="Y13" s="29">
        <f t="shared" si="3"/>
        <v>0.12164691203992514</v>
      </c>
      <c r="Z13" s="29">
        <f t="shared" si="4"/>
        <v>4.8048390778361099E-3</v>
      </c>
      <c r="AA13" s="31">
        <f t="shared" si="5"/>
        <v>0.30134944469348318</v>
      </c>
      <c r="AB13" s="31">
        <f t="shared" si="6"/>
        <v>4.2045489205571095E-3</v>
      </c>
      <c r="AC13" s="31">
        <f t="shared" si="9"/>
        <v>71.672241276610933</v>
      </c>
      <c r="AD13" s="28">
        <f t="shared" ref="AD13:AD14" si="11">(M13/35450)*1000</f>
        <v>4.0620592383638927</v>
      </c>
      <c r="AE13" s="28">
        <f t="shared" ref="AE13:AE14" si="12">(N13/96056)*1000</f>
        <v>0.11035229449487799</v>
      </c>
      <c r="AF13" s="28"/>
      <c r="AG13" s="28">
        <f t="shared" si="10"/>
        <v>-0.52092960448403447</v>
      </c>
      <c r="AH13" s="28">
        <f t="shared" si="10"/>
        <v>-2.3762805900732218</v>
      </c>
    </row>
    <row r="14" spans="1:34" ht="21" customHeight="1" x14ac:dyDescent="0.55000000000000004">
      <c r="A14" s="37">
        <v>38903</v>
      </c>
      <c r="B14" s="28"/>
      <c r="C14" s="29" t="s">
        <v>129</v>
      </c>
      <c r="D14" s="29">
        <v>1.02358438091</v>
      </c>
      <c r="E14" s="38">
        <v>2.5999999999999999E-2</v>
      </c>
      <c r="F14" s="38">
        <v>47.9</v>
      </c>
      <c r="G14" s="38" t="s">
        <v>119</v>
      </c>
      <c r="H14" s="38">
        <v>1.7</v>
      </c>
      <c r="I14" s="38">
        <v>8.39</v>
      </c>
      <c r="J14" s="38">
        <v>70.2</v>
      </c>
      <c r="K14" s="38">
        <v>4.0999999999999996</v>
      </c>
      <c r="L14" s="38">
        <v>0.42</v>
      </c>
      <c r="M14" s="28">
        <v>151</v>
      </c>
      <c r="N14" s="28">
        <v>11.3</v>
      </c>
      <c r="O14" s="28"/>
      <c r="P14" s="28"/>
      <c r="Q14" s="13">
        <v>21.35</v>
      </c>
      <c r="R14" s="13">
        <v>7.4</v>
      </c>
      <c r="S14" s="77"/>
      <c r="T14" s="29">
        <f t="shared" si="7"/>
        <v>1.8932911954677519E-4</v>
      </c>
      <c r="U14" s="29">
        <f t="shared" si="8"/>
        <v>1.1951694196317182</v>
      </c>
      <c r="V14" s="29">
        <f t="shared" si="0"/>
        <v>4.348048493529081E-2</v>
      </c>
      <c r="W14" s="29">
        <f t="shared" si="1"/>
        <v>0.34519646163340878</v>
      </c>
      <c r="X14" s="29">
        <f t="shared" si="2"/>
        <v>3.0536343468615423</v>
      </c>
      <c r="Y14" s="29">
        <f t="shared" si="3"/>
        <v>0.12788521522145974</v>
      </c>
      <c r="Z14" s="29">
        <f t="shared" si="4"/>
        <v>4.7934261584113213E-3</v>
      </c>
      <c r="AA14" s="31">
        <f t="shared" si="5"/>
        <v>0.28882638391114313</v>
      </c>
      <c r="AB14" s="31">
        <f t="shared" si="6"/>
        <v>4.0106666717496641E-3</v>
      </c>
      <c r="AC14" s="31">
        <f t="shared" si="9"/>
        <v>72.014557067426864</v>
      </c>
      <c r="AD14" s="28">
        <f t="shared" si="11"/>
        <v>4.259520451339915</v>
      </c>
      <c r="AE14" s="28">
        <f t="shared" si="12"/>
        <v>0.11763971016906805</v>
      </c>
      <c r="AF14" s="28"/>
      <c r="AG14" s="28">
        <f t="shared" si="10"/>
        <v>-0.53936313705928829</v>
      </c>
      <c r="AH14" s="28">
        <f t="shared" si="10"/>
        <v>-2.3967834309216838</v>
      </c>
    </row>
    <row r="15" spans="1:34" ht="21" customHeight="1" x14ac:dyDescent="0.55000000000000004">
      <c r="A15" s="37">
        <v>38931</v>
      </c>
      <c r="B15" s="28"/>
      <c r="C15" s="29" t="s">
        <v>130</v>
      </c>
      <c r="D15" s="29">
        <v>1.0167730629615701</v>
      </c>
      <c r="E15" s="29"/>
      <c r="F15" s="29"/>
      <c r="G15" s="29"/>
      <c r="H15" s="29"/>
      <c r="I15" s="29"/>
      <c r="J15" s="29"/>
      <c r="K15" s="29"/>
      <c r="L15" s="29"/>
      <c r="M15" s="28"/>
      <c r="N15" s="28"/>
      <c r="O15" s="28"/>
      <c r="P15" s="28"/>
      <c r="Q15" s="13">
        <v>20.18</v>
      </c>
      <c r="R15" s="13">
        <v>7.1</v>
      </c>
      <c r="S15" s="77"/>
      <c r="T15" s="29"/>
      <c r="U15" s="29"/>
      <c r="V15" s="29"/>
      <c r="W15" s="29"/>
      <c r="X15" s="29"/>
      <c r="Y15" s="29"/>
      <c r="Z15" s="29"/>
      <c r="AA15" s="31"/>
      <c r="AB15" s="31"/>
      <c r="AC15" s="31">
        <f>AA16/AB16</f>
        <v>71.757871194504133</v>
      </c>
      <c r="AD15" s="28"/>
      <c r="AE15" s="28"/>
      <c r="AF15" s="28"/>
      <c r="AG15" s="28"/>
      <c r="AH15" s="28"/>
    </row>
    <row r="16" spans="1:34" ht="21.75" customHeight="1" x14ac:dyDescent="0.55000000000000004">
      <c r="A16" s="37">
        <v>38965</v>
      </c>
      <c r="B16" s="28" t="s">
        <v>131</v>
      </c>
      <c r="C16" s="29" t="s">
        <v>132</v>
      </c>
      <c r="D16" s="29">
        <v>1.0213852537503991</v>
      </c>
      <c r="E16" s="38">
        <v>2.7E-2</v>
      </c>
      <c r="F16" s="38">
        <v>47.9</v>
      </c>
      <c r="G16" s="38" t="s">
        <v>119</v>
      </c>
      <c r="H16" s="38">
        <v>1.7</v>
      </c>
      <c r="I16" s="38">
        <v>8.3800000000000008</v>
      </c>
      <c r="J16" s="38">
        <v>68.8</v>
      </c>
      <c r="K16" s="38">
        <v>4.0999999999999996</v>
      </c>
      <c r="L16" s="38">
        <v>0.42099999999999999</v>
      </c>
      <c r="M16" s="41">
        <v>153</v>
      </c>
      <c r="N16" s="42">
        <v>12</v>
      </c>
      <c r="O16" s="43">
        <v>3.3</v>
      </c>
      <c r="P16" s="43">
        <v>0.33333333333333331</v>
      </c>
      <c r="Q16" s="13">
        <v>24.04</v>
      </c>
      <c r="R16" s="13">
        <v>7.1</v>
      </c>
      <c r="S16" s="77"/>
      <c r="T16" s="29">
        <f t="shared" si="7"/>
        <v>1.9661100876011272E-4</v>
      </c>
      <c r="U16" s="29">
        <f t="shared" si="8"/>
        <v>1.1951694196317182</v>
      </c>
      <c r="V16" s="29">
        <f t="shared" si="0"/>
        <v>4.348048493529081E-2</v>
      </c>
      <c r="W16" s="29">
        <f t="shared" si="1"/>
        <v>0.34478502365768365</v>
      </c>
      <c r="X16" s="29">
        <f t="shared" si="2"/>
        <v>2.9927356561833918</v>
      </c>
      <c r="Y16" s="29">
        <f t="shared" si="3"/>
        <v>0.12788521522145974</v>
      </c>
      <c r="Z16" s="29">
        <f t="shared" si="4"/>
        <v>4.8048390778361099E-3</v>
      </c>
      <c r="AA16" s="31">
        <f>W16/U16</f>
        <v>0.28848213315558757</v>
      </c>
      <c r="AB16" s="31">
        <f>Z16/U16</f>
        <v>4.0202158781109734E-3</v>
      </c>
      <c r="AC16" s="31">
        <f t="shared" ref="AC16:AC28" si="13">AA18/AB18</f>
        <v>71.756236255737676</v>
      </c>
      <c r="AD16" s="28">
        <f>(M16/35450)*1000</f>
        <v>4.3159379407616356</v>
      </c>
      <c r="AE16" s="28">
        <f>(N16/96056)*1000</f>
        <v>0.12492712584325809</v>
      </c>
      <c r="AF16" s="28">
        <f>(O16/62004)*1000</f>
        <v>5.3222372750145151E-2</v>
      </c>
      <c r="AG16" s="28">
        <f t="shared" si="10"/>
        <v>-0.539881079257712</v>
      </c>
      <c r="AH16" s="28">
        <f t="shared" si="10"/>
        <v>-2.3957506254839158</v>
      </c>
    </row>
    <row r="17" spans="1:34" ht="19.5" customHeight="1" x14ac:dyDescent="0.55000000000000004">
      <c r="A17" s="37">
        <v>38993</v>
      </c>
      <c r="B17" s="28"/>
      <c r="C17" s="29" t="s">
        <v>133</v>
      </c>
      <c r="D17" s="29">
        <v>1.0261780104712044</v>
      </c>
      <c r="E17" s="29"/>
      <c r="F17" s="29"/>
      <c r="G17" s="29"/>
      <c r="H17" s="29"/>
      <c r="I17" s="29"/>
      <c r="J17" s="29"/>
      <c r="K17" s="29"/>
      <c r="L17" s="29"/>
      <c r="M17" s="28">
        <v>148</v>
      </c>
      <c r="N17" s="28">
        <v>10.8</v>
      </c>
      <c r="O17" s="28"/>
      <c r="P17" s="28"/>
      <c r="Q17" s="13">
        <v>25.26</v>
      </c>
      <c r="R17" s="13">
        <v>7.1</v>
      </c>
      <c r="S17" s="77"/>
      <c r="T17" s="29"/>
      <c r="U17" s="29"/>
      <c r="V17" s="29"/>
      <c r="W17" s="29"/>
      <c r="X17" s="29"/>
      <c r="Y17" s="29"/>
      <c r="Z17" s="29"/>
      <c r="AA17" s="31"/>
      <c r="AB17" s="31"/>
      <c r="AC17" s="31">
        <f t="shared" si="13"/>
        <v>72.100390866076935</v>
      </c>
      <c r="AD17" s="28">
        <f t="shared" ref="AD17:AD52" si="14">(M17/35450)*1000</f>
        <v>4.174894217207334</v>
      </c>
      <c r="AE17" s="28">
        <f t="shared" ref="AE17:AE52" si="15">(N17/96056)*1000</f>
        <v>0.1124344132589323</v>
      </c>
      <c r="AF17" s="28"/>
      <c r="AG17" s="28"/>
      <c r="AH17" s="28"/>
    </row>
    <row r="18" spans="1:34" ht="21" customHeight="1" x14ac:dyDescent="0.55000000000000004">
      <c r="A18" s="37">
        <v>39021</v>
      </c>
      <c r="B18" s="28" t="s">
        <v>134</v>
      </c>
      <c r="C18" s="29" t="s">
        <v>135</v>
      </c>
      <c r="D18" s="29">
        <v>1.0287356321839101</v>
      </c>
      <c r="E18" s="38">
        <v>1.7999999999999999E-2</v>
      </c>
      <c r="F18" s="38">
        <v>49.6</v>
      </c>
      <c r="G18" s="38" t="s">
        <v>119</v>
      </c>
      <c r="H18" s="38">
        <v>1.6</v>
      </c>
      <c r="I18" s="38">
        <v>8.34</v>
      </c>
      <c r="J18" s="38">
        <v>69.2</v>
      </c>
      <c r="K18" s="38">
        <v>4</v>
      </c>
      <c r="L18" s="38">
        <v>0.41899999999999998</v>
      </c>
      <c r="M18" s="28">
        <v>155</v>
      </c>
      <c r="N18" s="28">
        <v>11</v>
      </c>
      <c r="O18" s="28"/>
      <c r="P18" s="40">
        <v>0.25</v>
      </c>
      <c r="Q18" s="13">
        <v>28.02</v>
      </c>
      <c r="R18" s="13">
        <v>7.1</v>
      </c>
      <c r="S18" s="77"/>
      <c r="T18" s="29">
        <f t="shared" si="7"/>
        <v>1.3107400584007515E-4</v>
      </c>
      <c r="U18" s="29">
        <f t="shared" si="8"/>
        <v>1.2375867059234493</v>
      </c>
      <c r="V18" s="29">
        <f t="shared" si="0"/>
        <v>4.0922809350861934E-2</v>
      </c>
      <c r="W18" s="29">
        <f t="shared" si="1"/>
        <v>0.34313927175478298</v>
      </c>
      <c r="X18" s="29">
        <f t="shared" si="2"/>
        <v>3.0101352820914351</v>
      </c>
      <c r="Y18" s="29">
        <f t="shared" si="3"/>
        <v>0.12476606363069247</v>
      </c>
      <c r="Z18" s="29">
        <f t="shared" si="4"/>
        <v>4.7820132389865327E-3</v>
      </c>
      <c r="AA18" s="31">
        <f t="shared" ref="AA18:AA30" si="16">W18/U18</f>
        <v>0.27726483333443935</v>
      </c>
      <c r="AB18" s="31">
        <f t="shared" ref="AB18:AB30" si="17">Z18/U18</f>
        <v>3.8639823909698036E-3</v>
      </c>
      <c r="AC18" s="31">
        <f t="shared" si="13"/>
        <v>70.976331320280636</v>
      </c>
      <c r="AD18" s="28">
        <f t="shared" si="14"/>
        <v>4.3723554301833563</v>
      </c>
      <c r="AE18" s="28">
        <f t="shared" si="15"/>
        <v>0.11451653202298659</v>
      </c>
      <c r="AF18" s="28"/>
      <c r="AG18" s="28">
        <f t="shared" si="10"/>
        <v>-0.557105210325884</v>
      </c>
      <c r="AH18" s="28">
        <f t="shared" si="10"/>
        <v>-2.412964861428923</v>
      </c>
    </row>
    <row r="19" spans="1:34" ht="21" customHeight="1" x14ac:dyDescent="0.55000000000000004">
      <c r="A19" s="37">
        <v>39051</v>
      </c>
      <c r="B19" s="28" t="s">
        <v>136</v>
      </c>
      <c r="C19" s="29" t="s">
        <v>137</v>
      </c>
      <c r="D19" s="29">
        <v>1.02651955090979</v>
      </c>
      <c r="E19" s="38">
        <v>1.4999999999999999E-2</v>
      </c>
      <c r="F19" s="38">
        <v>51.7</v>
      </c>
      <c r="G19" s="38">
        <v>4.0000000000000001E-3</v>
      </c>
      <c r="H19" s="38">
        <v>1.7</v>
      </c>
      <c r="I19" s="38">
        <v>8.68</v>
      </c>
      <c r="J19" s="38">
        <v>75.2</v>
      </c>
      <c r="K19" s="38">
        <v>4</v>
      </c>
      <c r="L19" s="38">
        <v>0.434</v>
      </c>
      <c r="M19" s="28">
        <v>166.14319</v>
      </c>
      <c r="N19" s="28"/>
      <c r="O19" s="28"/>
      <c r="P19" s="40">
        <v>0.25</v>
      </c>
      <c r="Q19" s="13">
        <v>29.25</v>
      </c>
      <c r="R19" s="13">
        <v>7.1</v>
      </c>
      <c r="S19" s="77"/>
      <c r="T19" s="29">
        <f t="shared" si="7"/>
        <v>1.0922833820006262E-4</v>
      </c>
      <c r="U19" s="29">
        <f t="shared" si="8"/>
        <v>1.2899845301661761</v>
      </c>
      <c r="V19" s="29">
        <f t="shared" si="0"/>
        <v>4.348048493529081E-2</v>
      </c>
      <c r="W19" s="29">
        <f t="shared" si="1"/>
        <v>0.35712816292943839</v>
      </c>
      <c r="X19" s="29">
        <f t="shared" si="2"/>
        <v>3.2711296707120798</v>
      </c>
      <c r="Y19" s="29">
        <f t="shared" si="3"/>
        <v>0.12476606363069247</v>
      </c>
      <c r="Z19" s="29">
        <f t="shared" si="4"/>
        <v>4.9532070303583654E-3</v>
      </c>
      <c r="AA19" s="31">
        <f t="shared" si="16"/>
        <v>0.2768468571351263</v>
      </c>
      <c r="AB19" s="31">
        <f t="shared" si="17"/>
        <v>3.8397414190077862E-3</v>
      </c>
      <c r="AC19" s="31">
        <f t="shared" si="13"/>
        <v>71.205239286475532</v>
      </c>
      <c r="AD19" s="28">
        <f t="shared" si="14"/>
        <v>4.6866908321579688</v>
      </c>
      <c r="AE19" s="28"/>
      <c r="AF19" s="28"/>
      <c r="AG19" s="28">
        <f t="shared" si="10"/>
        <v>-0.55776040239087599</v>
      </c>
      <c r="AH19" s="28">
        <f t="shared" si="10"/>
        <v>-2.415698021486453</v>
      </c>
    </row>
    <row r="20" spans="1:34" ht="21" customHeight="1" x14ac:dyDescent="0.55000000000000004">
      <c r="A20" s="37">
        <v>39085</v>
      </c>
      <c r="B20" s="28" t="s">
        <v>138</v>
      </c>
      <c r="C20" s="29" t="s">
        <v>139</v>
      </c>
      <c r="D20" s="29">
        <v>1.02</v>
      </c>
      <c r="E20" s="38">
        <v>2.5999999999999999E-2</v>
      </c>
      <c r="F20" s="44">
        <v>57</v>
      </c>
      <c r="G20" s="38" t="s">
        <v>119</v>
      </c>
      <c r="H20" s="38">
        <v>1.8</v>
      </c>
      <c r="I20" s="38">
        <v>8.84</v>
      </c>
      <c r="J20" s="38">
        <v>79</v>
      </c>
      <c r="K20" s="38">
        <v>4.2</v>
      </c>
      <c r="L20" s="38">
        <v>0.44900000000000001</v>
      </c>
      <c r="M20" s="45">
        <v>164.99205722400001</v>
      </c>
      <c r="N20" s="28"/>
      <c r="O20" s="28"/>
      <c r="P20" s="28"/>
      <c r="Q20" s="13">
        <v>29.45</v>
      </c>
      <c r="R20" s="13">
        <v>7.1</v>
      </c>
      <c r="S20" s="77"/>
      <c r="T20" s="29">
        <f t="shared" si="7"/>
        <v>1.8932911954677519E-4</v>
      </c>
      <c r="U20" s="29">
        <f t="shared" si="8"/>
        <v>1.422226658016867</v>
      </c>
      <c r="V20" s="29">
        <f t="shared" si="0"/>
        <v>4.6038160519719679E-2</v>
      </c>
      <c r="W20" s="29">
        <f t="shared" si="1"/>
        <v>0.36371117054104096</v>
      </c>
      <c r="X20" s="29">
        <f t="shared" si="2"/>
        <v>3.4364261168384878</v>
      </c>
      <c r="Y20" s="29">
        <f t="shared" si="3"/>
        <v>0.13100436681222707</v>
      </c>
      <c r="Z20" s="29">
        <f t="shared" si="4"/>
        <v>5.124400821730199E-3</v>
      </c>
      <c r="AA20" s="31">
        <f t="shared" si="16"/>
        <v>0.25573361917445336</v>
      </c>
      <c r="AB20" s="31">
        <f t="shared" si="17"/>
        <v>3.6030830900579463E-3</v>
      </c>
      <c r="AC20" s="31">
        <f t="shared" si="13"/>
        <v>70.132585438509338</v>
      </c>
      <c r="AD20" s="28">
        <f t="shared" si="14"/>
        <v>4.6542188215514813</v>
      </c>
      <c r="AE20" s="28"/>
      <c r="AF20" s="28"/>
      <c r="AG20" s="28">
        <f t="shared" si="10"/>
        <v>-0.59221217513284352</v>
      </c>
      <c r="AH20" s="28">
        <f t="shared" si="10"/>
        <v>-2.4433257225741891</v>
      </c>
    </row>
    <row r="21" spans="1:34" ht="18.75" customHeight="1" x14ac:dyDescent="0.55000000000000004">
      <c r="A21" s="37">
        <v>39119</v>
      </c>
      <c r="B21" s="28" t="s">
        <v>140</v>
      </c>
      <c r="C21" s="29" t="s">
        <v>141</v>
      </c>
      <c r="D21" s="29">
        <v>1.02546134080822</v>
      </c>
      <c r="E21" s="38">
        <v>2.3E-2</v>
      </c>
      <c r="F21" s="38">
        <v>60.2</v>
      </c>
      <c r="G21" s="38" t="s">
        <v>119</v>
      </c>
      <c r="H21" s="38">
        <v>1.7</v>
      </c>
      <c r="I21" s="38">
        <v>8.75</v>
      </c>
      <c r="J21" s="38">
        <v>75.5</v>
      </c>
      <c r="K21" s="38">
        <v>4.0999999999999996</v>
      </c>
      <c r="L21" s="38">
        <v>0.443</v>
      </c>
      <c r="M21" s="45">
        <v>168.76972948</v>
      </c>
      <c r="N21" s="28"/>
      <c r="O21" s="28"/>
      <c r="P21" s="28"/>
      <c r="R21" s="13">
        <v>7.1</v>
      </c>
      <c r="S21" s="77"/>
      <c r="T21" s="29">
        <f t="shared" si="7"/>
        <v>1.6748345190676267E-4</v>
      </c>
      <c r="U21" s="29">
        <f>(F21/40078)*1000</f>
        <v>1.5020709616248318</v>
      </c>
      <c r="V21" s="29">
        <f t="shared" si="0"/>
        <v>4.348048493529081E-2</v>
      </c>
      <c r="W21" s="29">
        <f t="shared" si="1"/>
        <v>0.36000822875951449</v>
      </c>
      <c r="X21" s="29">
        <f t="shared" si="2"/>
        <v>3.2841793901431116</v>
      </c>
      <c r="Y21" s="29">
        <f t="shared" si="3"/>
        <v>0.12788521522145974</v>
      </c>
      <c r="Z21" s="29">
        <f t="shared" si="4"/>
        <v>5.0559233051814655E-3</v>
      </c>
      <c r="AA21" s="31">
        <f t="shared" si="16"/>
        <v>0.23967458126617641</v>
      </c>
      <c r="AB21" s="31">
        <f t="shared" si="17"/>
        <v>3.3659683426090158E-3</v>
      </c>
      <c r="AC21" s="31">
        <f t="shared" si="13"/>
        <v>70.53977634516616</v>
      </c>
      <c r="AD21" s="28">
        <f t="shared" si="14"/>
        <v>4.7607822138222842</v>
      </c>
      <c r="AE21" s="28"/>
      <c r="AF21" s="28"/>
      <c r="AG21" s="28">
        <f t="shared" si="10"/>
        <v>-0.62037802270893661</v>
      </c>
      <c r="AH21" s="28">
        <f t="shared" si="10"/>
        <v>-2.4728899729397757</v>
      </c>
    </row>
    <row r="22" spans="1:34" ht="21.75" customHeight="1" thickBot="1" x14ac:dyDescent="0.6">
      <c r="A22" s="37">
        <v>39143</v>
      </c>
      <c r="B22" s="28" t="s">
        <v>142</v>
      </c>
      <c r="C22" s="29" t="s">
        <v>143</v>
      </c>
      <c r="D22" s="29">
        <v>1.0230788116867178</v>
      </c>
      <c r="E22" s="38">
        <v>1.7000000000000001E-2</v>
      </c>
      <c r="F22" s="38">
        <v>58.8</v>
      </c>
      <c r="G22" s="38" t="s">
        <v>119</v>
      </c>
      <c r="H22" s="38">
        <v>1.8</v>
      </c>
      <c r="I22" s="38">
        <v>8.91</v>
      </c>
      <c r="J22" s="38">
        <v>77.599999999999994</v>
      </c>
      <c r="K22" s="38">
        <v>4.2</v>
      </c>
      <c r="L22" s="38">
        <v>0.45800000000000002</v>
      </c>
      <c r="M22" s="45">
        <v>167.89846199499999</v>
      </c>
      <c r="N22" s="28"/>
      <c r="O22" s="28"/>
      <c r="P22" s="40">
        <v>0.2</v>
      </c>
      <c r="Q22" s="13">
        <v>33.22</v>
      </c>
      <c r="R22" s="13">
        <v>7.1</v>
      </c>
      <c r="S22" s="77"/>
      <c r="T22" s="29">
        <f t="shared" si="7"/>
        <v>1.2379211662673766E-4</v>
      </c>
      <c r="U22" s="29">
        <f t="shared" si="8"/>
        <v>1.467139078796347</v>
      </c>
      <c r="V22" s="29">
        <f t="shared" si="0"/>
        <v>4.6038160519719679E-2</v>
      </c>
      <c r="W22" s="29">
        <f t="shared" si="1"/>
        <v>0.36659123637111707</v>
      </c>
      <c r="X22" s="29">
        <f t="shared" si="2"/>
        <v>3.3755274261603372</v>
      </c>
      <c r="Y22" s="29">
        <f t="shared" si="3"/>
        <v>0.13100436681222707</v>
      </c>
      <c r="Z22" s="29">
        <f t="shared" si="4"/>
        <v>5.2271170965532982E-3</v>
      </c>
      <c r="AA22" s="31">
        <f t="shared" si="16"/>
        <v>0.24986808794696652</v>
      </c>
      <c r="AB22" s="31">
        <f t="shared" si="17"/>
        <v>3.5627959012867875E-3</v>
      </c>
      <c r="AC22" s="31">
        <f t="shared" si="13"/>
        <v>71.634224545822136</v>
      </c>
      <c r="AD22" s="28">
        <f t="shared" si="14"/>
        <v>4.7362048517630466</v>
      </c>
      <c r="AE22" s="28"/>
      <c r="AF22" s="28"/>
      <c r="AG22" s="28">
        <f t="shared" si="10"/>
        <v>-0.60228920651268891</v>
      </c>
      <c r="AH22" s="28">
        <f t="shared" si="10"/>
        <v>-2.4482090559772902</v>
      </c>
    </row>
    <row r="23" spans="1:34" ht="18.75" customHeight="1" thickTop="1" x14ac:dyDescent="0.55000000000000004">
      <c r="A23" s="37">
        <v>39176</v>
      </c>
      <c r="B23" s="28" t="s">
        <v>144</v>
      </c>
      <c r="C23" s="29" t="s">
        <v>145</v>
      </c>
      <c r="D23" s="29">
        <v>1.0178427689830962</v>
      </c>
      <c r="E23" s="38">
        <v>1.6E-2</v>
      </c>
      <c r="F23" s="38">
        <v>54.6</v>
      </c>
      <c r="G23" s="38" t="s">
        <v>119</v>
      </c>
      <c r="H23" s="38">
        <v>1.8</v>
      </c>
      <c r="I23" s="38">
        <v>9.0399999999999991</v>
      </c>
      <c r="J23" s="38">
        <v>79.8</v>
      </c>
      <c r="K23" s="38">
        <v>4.2</v>
      </c>
      <c r="L23" s="38">
        <v>0.46200000000000002</v>
      </c>
      <c r="M23" s="41">
        <v>183</v>
      </c>
      <c r="N23" s="42">
        <v>13</v>
      </c>
      <c r="O23" s="43">
        <v>4.2</v>
      </c>
      <c r="P23" s="43">
        <v>0.2</v>
      </c>
      <c r="R23" s="13">
        <v>7.1</v>
      </c>
      <c r="S23" s="78">
        <v>1.4462364547253419</v>
      </c>
      <c r="T23" s="29">
        <f t="shared" si="7"/>
        <v>1.1651022741340014E-4</v>
      </c>
      <c r="U23" s="29">
        <f t="shared" si="8"/>
        <v>1.3623434303108937</v>
      </c>
      <c r="V23" s="29">
        <f t="shared" si="0"/>
        <v>4.6038160519719679E-2</v>
      </c>
      <c r="W23" s="29">
        <f t="shared" si="1"/>
        <v>0.3719399300555441</v>
      </c>
      <c r="X23" s="29">
        <f t="shared" si="2"/>
        <v>3.471225368654574</v>
      </c>
      <c r="Y23" s="29">
        <f t="shared" si="3"/>
        <v>0.13100436681222707</v>
      </c>
      <c r="Z23" s="29">
        <f t="shared" si="4"/>
        <v>5.2727687742524544E-3</v>
      </c>
      <c r="AA23" s="31">
        <f t="shared" si="16"/>
        <v>0.27301480799937905</v>
      </c>
      <c r="AB23" s="31">
        <f t="shared" si="17"/>
        <v>3.8703667936719759E-3</v>
      </c>
      <c r="AC23" s="31">
        <f t="shared" si="13"/>
        <v>72.955029119877423</v>
      </c>
      <c r="AD23" s="28">
        <f t="shared" si="14"/>
        <v>5.1622002820874471</v>
      </c>
      <c r="AE23" s="28">
        <f t="shared" si="15"/>
        <v>0.13533771966352962</v>
      </c>
      <c r="AF23" s="28">
        <f t="shared" ref="AF23:AF53" si="18">(O23/62004)*1000</f>
        <v>6.7737565318366555E-2</v>
      </c>
      <c r="AG23" s="28">
        <f t="shared" si="10"/>
        <v>-0.56381379670279919</v>
      </c>
      <c r="AH23" s="28">
        <f t="shared" si="10"/>
        <v>-2.4122478750536325</v>
      </c>
    </row>
    <row r="24" spans="1:34" ht="19.5" customHeight="1" x14ac:dyDescent="0.55000000000000004">
      <c r="A24" s="37">
        <v>39204</v>
      </c>
      <c r="B24" s="28" t="s">
        <v>146</v>
      </c>
      <c r="C24" s="29" t="s">
        <v>147</v>
      </c>
      <c r="D24" s="29">
        <v>1.0176781002638522</v>
      </c>
      <c r="E24" s="38">
        <v>1.2999999999999999E-2</v>
      </c>
      <c r="F24" s="38">
        <v>57.1</v>
      </c>
      <c r="G24" s="38" t="s">
        <v>119</v>
      </c>
      <c r="H24" s="38">
        <v>1.8</v>
      </c>
      <c r="I24" s="38">
        <v>9.2200000000000006</v>
      </c>
      <c r="J24" s="38">
        <v>80.900000000000006</v>
      </c>
      <c r="K24" s="38">
        <v>4.3</v>
      </c>
      <c r="L24" s="38">
        <v>0.46400000000000002</v>
      </c>
      <c r="M24" s="41">
        <v>188</v>
      </c>
      <c r="N24" s="42">
        <v>13</v>
      </c>
      <c r="O24" s="43">
        <v>4</v>
      </c>
      <c r="P24" s="43">
        <v>0.2</v>
      </c>
      <c r="R24" s="13">
        <v>7.1</v>
      </c>
      <c r="S24" s="77"/>
      <c r="T24" s="29">
        <f t="shared" si="7"/>
        <v>9.4664559773387596E-5</v>
      </c>
      <c r="U24" s="29">
        <f t="shared" si="8"/>
        <v>1.4247217925046161</v>
      </c>
      <c r="V24" s="29">
        <f t="shared" si="0"/>
        <v>4.6038160519719679E-2</v>
      </c>
      <c r="W24" s="29">
        <f t="shared" si="1"/>
        <v>0.37934581361859704</v>
      </c>
      <c r="X24" s="29">
        <f t="shared" si="2"/>
        <v>3.5190743399016924</v>
      </c>
      <c r="Y24" s="29">
        <f t="shared" si="3"/>
        <v>0.13412351840299438</v>
      </c>
      <c r="Z24" s="29">
        <f t="shared" si="4"/>
        <v>5.2955946131020316E-3</v>
      </c>
      <c r="AA24" s="31">
        <f t="shared" si="16"/>
        <v>0.26625957124704258</v>
      </c>
      <c r="AB24" s="31">
        <f t="shared" si="17"/>
        <v>3.7169324151296534E-3</v>
      </c>
      <c r="AC24" s="31">
        <f t="shared" si="13"/>
        <v>72.392887380746615</v>
      </c>
      <c r="AD24" s="28">
        <f t="shared" si="14"/>
        <v>5.3032440056417487</v>
      </c>
      <c r="AE24" s="28">
        <f t="shared" si="15"/>
        <v>0.13533771966352962</v>
      </c>
      <c r="AF24" s="28">
        <f t="shared" si="18"/>
        <v>6.4511966969872908E-2</v>
      </c>
      <c r="AG24" s="28">
        <f t="shared" si="10"/>
        <v>-0.57469477166564398</v>
      </c>
      <c r="AH24" s="28">
        <f t="shared" si="10"/>
        <v>-2.4298153355959879</v>
      </c>
    </row>
    <row r="25" spans="1:34" ht="19.5" customHeight="1" x14ac:dyDescent="0.55000000000000004">
      <c r="A25" s="37">
        <v>39234</v>
      </c>
      <c r="B25" s="28" t="s">
        <v>148</v>
      </c>
      <c r="C25" s="29" t="s">
        <v>149</v>
      </c>
      <c r="D25" s="29">
        <v>1.0164917541229384</v>
      </c>
      <c r="E25" s="38">
        <v>1.2E-2</v>
      </c>
      <c r="F25" s="38">
        <v>56.8</v>
      </c>
      <c r="G25" s="38" t="s">
        <v>119</v>
      </c>
      <c r="H25" s="38">
        <v>1.9</v>
      </c>
      <c r="I25" s="38">
        <v>9.39</v>
      </c>
      <c r="J25" s="38">
        <v>84.7</v>
      </c>
      <c r="K25" s="38">
        <v>4.3</v>
      </c>
      <c r="L25" s="38">
        <v>0.46400000000000002</v>
      </c>
      <c r="M25" s="41">
        <v>196</v>
      </c>
      <c r="N25" s="42">
        <v>12</v>
      </c>
      <c r="O25" s="43">
        <v>4</v>
      </c>
      <c r="P25" s="43">
        <v>0.2</v>
      </c>
      <c r="R25" s="13">
        <v>7.1</v>
      </c>
      <c r="S25" s="77"/>
      <c r="T25" s="29">
        <f t="shared" si="7"/>
        <v>8.7382670560050098E-5</v>
      </c>
      <c r="U25" s="29">
        <f t="shared" si="8"/>
        <v>1.4172363890413693</v>
      </c>
      <c r="V25" s="29">
        <f t="shared" si="0"/>
        <v>4.8595836104148547E-2</v>
      </c>
      <c r="W25" s="29">
        <f t="shared" si="1"/>
        <v>0.38634025920592474</v>
      </c>
      <c r="X25" s="29">
        <f t="shared" si="2"/>
        <v>3.6843707860281003</v>
      </c>
      <c r="Y25" s="29">
        <f t="shared" si="3"/>
        <v>0.13412351840299438</v>
      </c>
      <c r="Z25" s="29">
        <f t="shared" si="4"/>
        <v>5.2955946131020316E-3</v>
      </c>
      <c r="AA25" s="31">
        <f t="shared" si="16"/>
        <v>0.27260114275449038</v>
      </c>
      <c r="AB25" s="31">
        <f t="shared" si="17"/>
        <v>3.7365641004208318E-3</v>
      </c>
      <c r="AC25" s="31">
        <f t="shared" si="13"/>
        <v>70.746727401200005</v>
      </c>
      <c r="AD25" s="28">
        <f t="shared" si="14"/>
        <v>5.5289139633286322</v>
      </c>
      <c r="AE25" s="28">
        <f t="shared" si="15"/>
        <v>0.12492712584325809</v>
      </c>
      <c r="AF25" s="28">
        <f t="shared" si="18"/>
        <v>6.4511966969872908E-2</v>
      </c>
      <c r="AG25" s="28">
        <f t="shared" si="10"/>
        <v>-0.56447232791833313</v>
      </c>
      <c r="AH25" s="28">
        <f t="shared" si="10"/>
        <v>-2.427527563061159</v>
      </c>
    </row>
    <row r="26" spans="1:34" ht="18.75" customHeight="1" x14ac:dyDescent="0.55000000000000004">
      <c r="A26" s="37">
        <v>39265</v>
      </c>
      <c r="B26" s="28"/>
      <c r="C26" s="29" t="s">
        <v>150</v>
      </c>
      <c r="D26" s="29">
        <v>1.0194508009153318</v>
      </c>
      <c r="E26" s="38">
        <v>1.7000000000000001E-2</v>
      </c>
      <c r="F26" s="38">
        <v>54.1</v>
      </c>
      <c r="G26" s="38">
        <v>7.0000000000000001E-3</v>
      </c>
      <c r="H26" s="38">
        <v>1.9</v>
      </c>
      <c r="I26" s="38">
        <v>9.9</v>
      </c>
      <c r="J26" s="38">
        <v>89.3</v>
      </c>
      <c r="K26" s="38">
        <v>4.5</v>
      </c>
      <c r="L26" s="38">
        <v>0.49299999999999999</v>
      </c>
      <c r="M26" s="28"/>
      <c r="N26" s="28"/>
      <c r="O26" s="28"/>
      <c r="P26" s="40">
        <v>0.1</v>
      </c>
      <c r="S26" s="77"/>
      <c r="T26" s="29">
        <f t="shared" si="7"/>
        <v>1.2379211662673766E-4</v>
      </c>
      <c r="U26" s="29">
        <f t="shared" si="8"/>
        <v>1.3498677578721494</v>
      </c>
      <c r="V26" s="29">
        <f t="shared" si="0"/>
        <v>4.8595836104148547E-2</v>
      </c>
      <c r="W26" s="29">
        <f t="shared" si="1"/>
        <v>0.40732359596790785</v>
      </c>
      <c r="X26" s="29">
        <f t="shared" si="2"/>
        <v>3.8844664839705945</v>
      </c>
      <c r="Y26" s="29">
        <f t="shared" si="3"/>
        <v>0.14036182158452901</v>
      </c>
      <c r="Z26" s="29">
        <f t="shared" si="4"/>
        <v>5.6265692764209084E-3</v>
      </c>
      <c r="AA26" s="31">
        <f t="shared" si="16"/>
        <v>0.30175074083552328</v>
      </c>
      <c r="AB26" s="31">
        <f t="shared" si="17"/>
        <v>4.1682374022254561E-3</v>
      </c>
      <c r="AC26" s="31">
        <f t="shared" si="13"/>
        <v>70.744046879487371</v>
      </c>
      <c r="AD26" s="28"/>
      <c r="AE26" s="28"/>
      <c r="AF26" s="28"/>
      <c r="AG26" s="28">
        <f t="shared" si="10"/>
        <v>-0.52035165498244484</v>
      </c>
      <c r="AH26" s="28">
        <f t="shared" si="10"/>
        <v>-2.3800475537343604</v>
      </c>
    </row>
    <row r="27" spans="1:34" ht="17.25" customHeight="1" x14ac:dyDescent="0.55000000000000004">
      <c r="A27" s="37">
        <v>39300</v>
      </c>
      <c r="B27" s="28" t="s">
        <v>151</v>
      </c>
      <c r="C27" s="29" t="s">
        <v>152</v>
      </c>
      <c r="D27" s="29">
        <v>1.0213971050975454</v>
      </c>
      <c r="E27" s="38">
        <v>1.7999999999999999E-2</v>
      </c>
      <c r="F27" s="38">
        <v>57.2</v>
      </c>
      <c r="G27" s="38" t="s">
        <v>119</v>
      </c>
      <c r="H27" s="38">
        <v>2.2999999999999998</v>
      </c>
      <c r="I27" s="38">
        <v>9.93</v>
      </c>
      <c r="J27" s="38">
        <v>88.3</v>
      </c>
      <c r="K27" s="38">
        <v>4.7</v>
      </c>
      <c r="L27" s="38">
        <v>0.50600000000000001</v>
      </c>
      <c r="M27" s="41">
        <v>208</v>
      </c>
      <c r="N27" s="42">
        <v>14</v>
      </c>
      <c r="O27" s="43">
        <v>4.2</v>
      </c>
      <c r="P27" s="43">
        <v>0.125</v>
      </c>
      <c r="R27" s="13">
        <v>7.1</v>
      </c>
      <c r="S27" s="77"/>
      <c r="T27" s="29">
        <f>(E27/137327)*1000</f>
        <v>1.3107400584007515E-4</v>
      </c>
      <c r="U27" s="29">
        <f t="shared" si="8"/>
        <v>1.4272169269923651</v>
      </c>
      <c r="V27" s="29">
        <f t="shared" si="0"/>
        <v>5.8826538441864029E-2</v>
      </c>
      <c r="W27" s="29">
        <f t="shared" si="1"/>
        <v>0.40855790989508328</v>
      </c>
      <c r="X27" s="29">
        <f t="shared" si="2"/>
        <v>3.8409674192004872</v>
      </c>
      <c r="Y27" s="29">
        <f t="shared" si="3"/>
        <v>0.14660012476606363</v>
      </c>
      <c r="Z27" s="29">
        <f t="shared" si="4"/>
        <v>5.7749372289431639E-3</v>
      </c>
      <c r="AA27" s="31">
        <f t="shared" si="16"/>
        <v>0.286261956517048</v>
      </c>
      <c r="AB27" s="31">
        <f t="shared" si="17"/>
        <v>4.0462925570207003E-3</v>
      </c>
      <c r="AC27" s="31">
        <f t="shared" si="13"/>
        <v>70.2534169065095</v>
      </c>
      <c r="AD27" s="28">
        <f t="shared" si="14"/>
        <v>5.8674188998589569</v>
      </c>
      <c r="AE27" s="28">
        <f t="shared" si="15"/>
        <v>0.1457483134838011</v>
      </c>
      <c r="AF27" s="28">
        <f t="shared" si="18"/>
        <v>6.7737565318366555E-2</v>
      </c>
      <c r="AG27" s="28">
        <f t="shared" si="10"/>
        <v>-0.5432363647710684</v>
      </c>
      <c r="AH27" s="28">
        <f t="shared" si="10"/>
        <v>-2.392942719858246</v>
      </c>
    </row>
    <row r="28" spans="1:34" ht="18.75" customHeight="1" x14ac:dyDescent="0.55000000000000004">
      <c r="A28" s="37">
        <v>39358</v>
      </c>
      <c r="B28" s="28" t="s">
        <v>153</v>
      </c>
      <c r="C28" s="29" t="s">
        <v>154</v>
      </c>
      <c r="D28" s="29">
        <v>1.0129999999999999</v>
      </c>
      <c r="E28" s="38">
        <v>1.7000000000000001E-2</v>
      </c>
      <c r="F28" s="38">
        <v>58.1</v>
      </c>
      <c r="G28" s="38" t="s">
        <v>119</v>
      </c>
      <c r="H28" s="38">
        <v>1.9</v>
      </c>
      <c r="I28" s="38">
        <v>9.91</v>
      </c>
      <c r="J28" s="38">
        <v>87.5</v>
      </c>
      <c r="K28" s="38">
        <v>4.5</v>
      </c>
      <c r="L28" s="38">
        <v>0.505</v>
      </c>
      <c r="M28" s="41">
        <v>212</v>
      </c>
      <c r="N28" s="42">
        <v>14</v>
      </c>
      <c r="O28" s="43">
        <v>4.8</v>
      </c>
      <c r="P28" s="43">
        <v>0.25</v>
      </c>
      <c r="S28" s="77"/>
      <c r="T28" s="29">
        <f t="shared" si="7"/>
        <v>1.2379211662673766E-4</v>
      </c>
      <c r="U28" s="29">
        <f t="shared" si="8"/>
        <v>1.4496731373821048</v>
      </c>
      <c r="V28" s="29">
        <f t="shared" si="0"/>
        <v>4.8595836104148547E-2</v>
      </c>
      <c r="W28" s="29">
        <f t="shared" si="1"/>
        <v>0.40773503394363303</v>
      </c>
      <c r="X28" s="29">
        <f t="shared" si="2"/>
        <v>3.8061681673844014</v>
      </c>
      <c r="Y28" s="29">
        <f t="shared" si="3"/>
        <v>0.14036182158452901</v>
      </c>
      <c r="Z28" s="29">
        <f t="shared" si="4"/>
        <v>5.7635243095183744E-3</v>
      </c>
      <c r="AA28" s="31">
        <f t="shared" si="16"/>
        <v>0.28125997745943071</v>
      </c>
      <c r="AB28" s="31">
        <f t="shared" si="17"/>
        <v>3.9757405727517629E-3</v>
      </c>
      <c r="AC28" s="31">
        <f t="shared" si="13"/>
        <v>70.740006132754729</v>
      </c>
      <c r="AD28" s="28">
        <f t="shared" si="14"/>
        <v>5.9802538787023982</v>
      </c>
      <c r="AE28" s="28">
        <f t="shared" si="15"/>
        <v>0.1457483134838011</v>
      </c>
      <c r="AF28" s="28">
        <f t="shared" si="18"/>
        <v>7.7414360363847481E-2</v>
      </c>
      <c r="AG28" s="28">
        <f t="shared" si="10"/>
        <v>-0.55089206237848065</v>
      </c>
      <c r="AH28" s="28">
        <f t="shared" si="10"/>
        <v>-2.4005819621766902</v>
      </c>
    </row>
    <row r="29" spans="1:34" ht="17.25" customHeight="1" x14ac:dyDescent="0.55000000000000004">
      <c r="A29" s="37">
        <v>39388</v>
      </c>
      <c r="B29" s="28" t="s">
        <v>155</v>
      </c>
      <c r="C29" s="29" t="s">
        <v>156</v>
      </c>
      <c r="D29" s="29">
        <v>1.012</v>
      </c>
      <c r="E29" s="38">
        <v>3.2000000000000001E-2</v>
      </c>
      <c r="F29" s="38">
        <v>61.6</v>
      </c>
      <c r="G29" s="38" t="s">
        <v>119</v>
      </c>
      <c r="H29" s="38">
        <v>2</v>
      </c>
      <c r="I29" s="38">
        <v>10.27</v>
      </c>
      <c r="J29" s="38">
        <v>91.5</v>
      </c>
      <c r="K29" s="38">
        <v>4.5999999999999996</v>
      </c>
      <c r="L29" s="38">
        <v>0.52700000000000002</v>
      </c>
      <c r="M29" s="41">
        <v>227</v>
      </c>
      <c r="N29" s="42">
        <v>14</v>
      </c>
      <c r="O29" s="43">
        <v>16.899999999999999</v>
      </c>
      <c r="P29" s="43">
        <v>0.2</v>
      </c>
      <c r="S29" s="77"/>
      <c r="T29" s="29">
        <f t="shared" si="7"/>
        <v>2.3302045482680029E-4</v>
      </c>
      <c r="U29" s="29">
        <f t="shared" si="8"/>
        <v>1.5370028444533161</v>
      </c>
      <c r="V29" s="29">
        <f t="shared" si="0"/>
        <v>5.1153511688577423E-2</v>
      </c>
      <c r="W29" s="29">
        <f t="shared" si="1"/>
        <v>0.42254680106973874</v>
      </c>
      <c r="X29" s="29">
        <f t="shared" si="2"/>
        <v>3.9801644264648308</v>
      </c>
      <c r="Y29" s="29">
        <f t="shared" si="3"/>
        <v>0.14348097317529632</v>
      </c>
      <c r="Z29" s="29">
        <f t="shared" si="4"/>
        <v>6.01460853686373E-3</v>
      </c>
      <c r="AA29" s="31">
        <f t="shared" si="16"/>
        <v>0.27491608268300305</v>
      </c>
      <c r="AB29" s="31">
        <f t="shared" si="17"/>
        <v>3.9132058594224762E-3</v>
      </c>
      <c r="AC29" s="31">
        <f>AA32/AB32</f>
        <v>70.262537765569093</v>
      </c>
      <c r="AD29" s="28">
        <f t="shared" si="14"/>
        <v>6.4033850493653039</v>
      </c>
      <c r="AE29" s="28">
        <f t="shared" si="15"/>
        <v>0.1457483134838011</v>
      </c>
      <c r="AF29" s="28">
        <f t="shared" si="18"/>
        <v>0.27256306044771306</v>
      </c>
      <c r="AG29" s="28">
        <f t="shared" si="10"/>
        <v>-0.56079985304057256</v>
      </c>
      <c r="AH29" s="28">
        <f t="shared" si="10"/>
        <v>-2.4074673048568997</v>
      </c>
    </row>
    <row r="30" spans="1:34" ht="19.5" customHeight="1" x14ac:dyDescent="0.55000000000000004">
      <c r="A30" s="37">
        <v>39419</v>
      </c>
      <c r="B30" s="28" t="s">
        <v>157</v>
      </c>
      <c r="C30" s="29" t="s">
        <v>158</v>
      </c>
      <c r="D30" s="29">
        <v>1.016</v>
      </c>
      <c r="E30" s="38">
        <v>2.4E-2</v>
      </c>
      <c r="F30" s="38">
        <v>63.7</v>
      </c>
      <c r="G30" s="38">
        <v>2.5000000000000001E-2</v>
      </c>
      <c r="H30" s="38">
        <v>2.1</v>
      </c>
      <c r="I30" s="38">
        <v>10.4</v>
      </c>
      <c r="J30" s="38">
        <v>94.2</v>
      </c>
      <c r="K30" s="38">
        <v>4.7</v>
      </c>
      <c r="L30" s="46">
        <v>0.53</v>
      </c>
      <c r="M30" s="41">
        <v>225</v>
      </c>
      <c r="N30" s="42">
        <v>14</v>
      </c>
      <c r="O30" s="43">
        <v>6.8</v>
      </c>
      <c r="P30" s="43">
        <v>0.2</v>
      </c>
      <c r="S30" s="77"/>
      <c r="T30" s="29">
        <f t="shared" si="7"/>
        <v>1.747653411201002E-4</v>
      </c>
      <c r="U30" s="29">
        <f t="shared" si="8"/>
        <v>1.5894006686960427</v>
      </c>
      <c r="V30" s="29">
        <f t="shared" si="0"/>
        <v>5.3711187273006292E-2</v>
      </c>
      <c r="W30" s="29">
        <f t="shared" si="1"/>
        <v>0.42789549475416583</v>
      </c>
      <c r="X30" s="29">
        <f t="shared" si="2"/>
        <v>4.0976119013441208</v>
      </c>
      <c r="Y30" s="29">
        <f t="shared" si="3"/>
        <v>0.14660012476606363</v>
      </c>
      <c r="Z30" s="29">
        <f t="shared" si="4"/>
        <v>6.0488472951380967E-3</v>
      </c>
      <c r="AA30" s="31">
        <f t="shared" si="16"/>
        <v>0.26921814189572146</v>
      </c>
      <c r="AB30" s="31">
        <f t="shared" si="17"/>
        <v>3.8057410030540762E-3</v>
      </c>
      <c r="AC30" s="31">
        <f>AA33/AB33</f>
        <v>71.443605929037773</v>
      </c>
      <c r="AD30" s="28">
        <f t="shared" si="14"/>
        <v>6.3469675599435824</v>
      </c>
      <c r="AE30" s="28">
        <f t="shared" si="15"/>
        <v>0.1457483134838011</v>
      </c>
      <c r="AF30" s="28">
        <f t="shared" si="18"/>
        <v>0.10967034384878395</v>
      </c>
      <c r="AG30" s="28">
        <f t="shared" si="10"/>
        <v>-0.56989567750999537</v>
      </c>
      <c r="AH30" s="28">
        <f t="shared" si="10"/>
        <v>-2.4195607706395821</v>
      </c>
    </row>
    <row r="31" spans="1:34" ht="21" customHeight="1" x14ac:dyDescent="0.55000000000000004">
      <c r="A31" s="37">
        <v>39455</v>
      </c>
      <c r="B31" s="28" t="s">
        <v>159</v>
      </c>
      <c r="C31" s="29" t="s">
        <v>160</v>
      </c>
      <c r="D31" s="29">
        <v>1.0209999999999999</v>
      </c>
      <c r="E31" s="29"/>
      <c r="F31" s="29"/>
      <c r="G31" s="29"/>
      <c r="H31" s="29"/>
      <c r="I31" s="29"/>
      <c r="J31" s="29"/>
      <c r="K31" s="29"/>
      <c r="L31" s="29"/>
      <c r="M31" s="41">
        <v>218</v>
      </c>
      <c r="N31" s="42">
        <v>13</v>
      </c>
      <c r="O31" s="43">
        <v>4.5999999999999996</v>
      </c>
      <c r="P31" s="43">
        <v>0.33333333333333331</v>
      </c>
      <c r="R31" s="13">
        <v>7.1</v>
      </c>
      <c r="S31" s="77"/>
      <c r="T31" s="29"/>
      <c r="U31" s="29"/>
      <c r="V31" s="29"/>
      <c r="W31" s="29"/>
      <c r="X31" s="29"/>
      <c r="Y31" s="29"/>
      <c r="Z31" s="29"/>
      <c r="AA31" s="31"/>
      <c r="AB31" s="31"/>
      <c r="AC31" s="31">
        <f>AA34/AB34</f>
        <v>71.955610964739435</v>
      </c>
      <c r="AD31" s="28">
        <f t="shared" si="14"/>
        <v>6.1495063469675593</v>
      </c>
      <c r="AE31" s="28">
        <f t="shared" si="15"/>
        <v>0.13533771966352962</v>
      </c>
      <c r="AF31" s="28">
        <f t="shared" si="18"/>
        <v>7.4188762015353835E-2</v>
      </c>
      <c r="AG31" s="28"/>
      <c r="AH31" s="28"/>
    </row>
    <row r="32" spans="1:34" ht="21" customHeight="1" x14ac:dyDescent="0.55000000000000004">
      <c r="A32" s="37">
        <v>39485</v>
      </c>
      <c r="B32" s="28" t="s">
        <v>161</v>
      </c>
      <c r="C32" s="29" t="s">
        <v>162</v>
      </c>
      <c r="D32" s="29">
        <v>1.0129999999999999</v>
      </c>
      <c r="E32" s="38">
        <v>2.1000000000000001E-2</v>
      </c>
      <c r="F32" s="38">
        <v>72.2</v>
      </c>
      <c r="G32" s="38" t="s">
        <v>119</v>
      </c>
      <c r="H32" s="38">
        <v>1.8</v>
      </c>
      <c r="I32" s="38">
        <v>9.94</v>
      </c>
      <c r="J32" s="38">
        <v>90.1</v>
      </c>
      <c r="K32" s="38">
        <v>4.3</v>
      </c>
      <c r="L32" s="46">
        <v>0.51</v>
      </c>
      <c r="M32" s="41">
        <v>216</v>
      </c>
      <c r="N32" s="42">
        <v>13</v>
      </c>
      <c r="O32" s="43">
        <v>5.0999999999999996</v>
      </c>
      <c r="P32" s="43">
        <v>0.33333333333333331</v>
      </c>
      <c r="S32" s="77"/>
      <c r="T32" s="29">
        <f t="shared" si="7"/>
        <v>1.5291967348008767E-4</v>
      </c>
      <c r="U32" s="29">
        <f t="shared" si="8"/>
        <v>1.8014871001546984</v>
      </c>
      <c r="V32" s="29">
        <f t="shared" si="0"/>
        <v>4.6038160519719679E-2</v>
      </c>
      <c r="W32" s="29">
        <f t="shared" si="1"/>
        <v>0.40896934787080846</v>
      </c>
      <c r="X32" s="29">
        <f t="shared" si="2"/>
        <v>3.9192657357866807</v>
      </c>
      <c r="Y32" s="29">
        <f t="shared" si="3"/>
        <v>0.13412351840299438</v>
      </c>
      <c r="Z32" s="29">
        <f t="shared" si="4"/>
        <v>5.8205889066423192E-3</v>
      </c>
      <c r="AA32" s="31">
        <f>W32/U32</f>
        <v>0.2270176388360978</v>
      </c>
      <c r="AB32" s="31">
        <f>Z32/U32</f>
        <v>3.2309911662106766E-3</v>
      </c>
      <c r="AC32" s="31">
        <f>AA35/AB35</f>
        <v>71.046291584409133</v>
      </c>
      <c r="AD32" s="28">
        <f t="shared" si="14"/>
        <v>6.0930888575458386</v>
      </c>
      <c r="AE32" s="28">
        <f t="shared" si="15"/>
        <v>0.13533771966352962</v>
      </c>
      <c r="AF32" s="28">
        <f t="shared" si="18"/>
        <v>8.2252757886587952E-2</v>
      </c>
      <c r="AG32" s="28">
        <f t="shared" si="10"/>
        <v>-0.64394039764575106</v>
      </c>
      <c r="AH32" s="28">
        <f t="shared" si="10"/>
        <v>-2.4906642293767236</v>
      </c>
    </row>
    <row r="33" spans="1:34" ht="21.75" customHeight="1" x14ac:dyDescent="0.55000000000000004">
      <c r="A33" s="37">
        <v>39512</v>
      </c>
      <c r="B33" s="28" t="s">
        <v>163</v>
      </c>
      <c r="C33" s="29" t="s">
        <v>164</v>
      </c>
      <c r="D33" s="29">
        <v>1.012</v>
      </c>
      <c r="E33" s="38">
        <v>0.02</v>
      </c>
      <c r="F33" s="38">
        <v>69.7</v>
      </c>
      <c r="G33" s="38" t="s">
        <v>119</v>
      </c>
      <c r="H33" s="38">
        <v>1.8</v>
      </c>
      <c r="I33" s="38">
        <v>9.7899999999999991</v>
      </c>
      <c r="J33" s="38">
        <v>87.9</v>
      </c>
      <c r="K33" s="38">
        <v>4.2</v>
      </c>
      <c r="L33" s="38">
        <v>0.49399999999999999</v>
      </c>
      <c r="M33" s="41">
        <v>217</v>
      </c>
      <c r="N33" s="42">
        <v>13</v>
      </c>
      <c r="O33" s="43">
        <v>4.5</v>
      </c>
      <c r="P33" s="43">
        <v>0.5</v>
      </c>
      <c r="S33" s="77"/>
      <c r="T33" s="29">
        <f t="shared" si="7"/>
        <v>1.4563778426675018E-4</v>
      </c>
      <c r="U33" s="29">
        <f t="shared" si="8"/>
        <v>1.7391087379609762</v>
      </c>
      <c r="V33" s="29">
        <f t="shared" si="0"/>
        <v>4.6038160519719679E-2</v>
      </c>
      <c r="W33" s="29">
        <f t="shared" si="1"/>
        <v>0.40279777823493107</v>
      </c>
      <c r="X33" s="29">
        <f t="shared" si="2"/>
        <v>3.8235677932924443</v>
      </c>
      <c r="Y33" s="29">
        <f t="shared" si="3"/>
        <v>0.13100436681222707</v>
      </c>
      <c r="Z33" s="29">
        <f t="shared" si="4"/>
        <v>5.637982195845697E-3</v>
      </c>
      <c r="AA33" s="31">
        <f>W33/U33</f>
        <v>0.23161161199568961</v>
      </c>
      <c r="AB33" s="31">
        <f>Z33/U33</f>
        <v>3.2418802072468268E-3</v>
      </c>
      <c r="AC33" s="31">
        <f>AA37/AB37</f>
        <v>72.569445453495646</v>
      </c>
      <c r="AD33" s="28">
        <f t="shared" si="14"/>
        <v>6.1212976022566998</v>
      </c>
      <c r="AE33" s="28">
        <f t="shared" si="15"/>
        <v>0.13533771966352962</v>
      </c>
      <c r="AF33" s="28">
        <f t="shared" si="18"/>
        <v>7.2575962841107025E-2</v>
      </c>
      <c r="AG33" s="28">
        <f t="shared" si="10"/>
        <v>-0.6352396707682969</v>
      </c>
      <c r="AH33" s="28">
        <f t="shared" si="10"/>
        <v>-2.4892030370793834</v>
      </c>
    </row>
    <row r="34" spans="1:34" ht="21" customHeight="1" x14ac:dyDescent="0.55000000000000004">
      <c r="A34" s="37">
        <v>39541</v>
      </c>
      <c r="B34" s="28" t="s">
        <v>165</v>
      </c>
      <c r="C34" s="29" t="s">
        <v>166</v>
      </c>
      <c r="D34" s="29">
        <v>1.024</v>
      </c>
      <c r="E34" s="38">
        <v>1.7000000000000001E-2</v>
      </c>
      <c r="F34" s="38">
        <v>68.2</v>
      </c>
      <c r="G34" s="38" t="s">
        <v>119</v>
      </c>
      <c r="H34" s="38">
        <v>3.4</v>
      </c>
      <c r="I34" s="38">
        <v>9.94</v>
      </c>
      <c r="J34" s="38">
        <v>90</v>
      </c>
      <c r="K34" s="38">
        <v>4.4000000000000004</v>
      </c>
      <c r="L34" s="38">
        <v>0.498</v>
      </c>
      <c r="M34" s="41">
        <v>222</v>
      </c>
      <c r="N34" s="42">
        <v>13</v>
      </c>
      <c r="O34" s="43">
        <v>7.4</v>
      </c>
      <c r="P34" s="43">
        <v>0.33</v>
      </c>
      <c r="S34" s="77"/>
      <c r="T34" s="29">
        <f t="shared" si="7"/>
        <v>1.2379211662673766E-4</v>
      </c>
      <c r="U34" s="29">
        <f t="shared" si="8"/>
        <v>1.701681720644743</v>
      </c>
      <c r="V34" s="29">
        <f t="shared" si="0"/>
        <v>8.696096987058162E-2</v>
      </c>
      <c r="W34" s="29">
        <f t="shared" si="1"/>
        <v>0.40896934787080846</v>
      </c>
      <c r="X34" s="29">
        <f t="shared" si="2"/>
        <v>3.91491582930967</v>
      </c>
      <c r="Y34" s="29">
        <f t="shared" si="3"/>
        <v>0.1372426699937617</v>
      </c>
      <c r="Z34" s="29">
        <f t="shared" si="4"/>
        <v>5.6836338735448523E-3</v>
      </c>
      <c r="AA34" s="31">
        <f>W34/U34</f>
        <v>0.24033245636314163</v>
      </c>
      <c r="AB34" s="31">
        <f>Z34/U34</f>
        <v>3.3400099469784541E-3</v>
      </c>
      <c r="AC34" s="31">
        <f>AA39/AB39</f>
        <v>73.718971069192946</v>
      </c>
      <c r="AD34" s="28">
        <f t="shared" si="14"/>
        <v>6.2623413258110014</v>
      </c>
      <c r="AE34" s="28">
        <f>(N34/96056)*1000</f>
        <v>0.13533771966352962</v>
      </c>
      <c r="AF34" s="28">
        <f t="shared" si="18"/>
        <v>0.11934713889426489</v>
      </c>
      <c r="AG34" s="28">
        <f t="shared" si="10"/>
        <v>-0.61918757473259101</v>
      </c>
      <c r="AH34" s="28">
        <f t="shared" si="10"/>
        <v>-2.4762522398017826</v>
      </c>
    </row>
    <row r="35" spans="1:34" ht="17.25" customHeight="1" x14ac:dyDescent="0.55000000000000004">
      <c r="A35" s="37">
        <v>39598</v>
      </c>
      <c r="B35" s="28" t="s">
        <v>167</v>
      </c>
      <c r="C35" s="29" t="s">
        <v>168</v>
      </c>
      <c r="D35" s="29">
        <v>1.0229999999999999</v>
      </c>
      <c r="E35" s="38">
        <v>1.7999999999999999E-2</v>
      </c>
      <c r="F35" s="38">
        <v>66.599999999999994</v>
      </c>
      <c r="G35" s="38" t="s">
        <v>119</v>
      </c>
      <c r="H35" s="38">
        <v>2.4</v>
      </c>
      <c r="I35" s="38">
        <v>10.11</v>
      </c>
      <c r="J35" s="38">
        <v>94.1</v>
      </c>
      <c r="K35" s="38">
        <v>4.8</v>
      </c>
      <c r="L35" s="38">
        <v>0.51300000000000001</v>
      </c>
      <c r="M35" s="41">
        <v>225</v>
      </c>
      <c r="N35" s="42">
        <v>15</v>
      </c>
      <c r="O35" s="43">
        <v>13.5</v>
      </c>
      <c r="P35" s="43">
        <v>0.5</v>
      </c>
      <c r="S35" s="77"/>
      <c r="T35" s="29">
        <f t="shared" si="7"/>
        <v>1.3107400584007515E-4</v>
      </c>
      <c r="U35" s="29">
        <f t="shared" si="8"/>
        <v>1.6617595688407603</v>
      </c>
      <c r="V35" s="29">
        <f t="shared" si="0"/>
        <v>6.1384214026292898E-2</v>
      </c>
      <c r="W35" s="29">
        <f t="shared" si="1"/>
        <v>0.41596379345813617</v>
      </c>
      <c r="X35" s="29">
        <f t="shared" si="2"/>
        <v>4.0932619948671105</v>
      </c>
      <c r="Y35" s="29">
        <f t="shared" si="3"/>
        <v>0.14971927635683094</v>
      </c>
      <c r="Z35" s="29">
        <f t="shared" si="4"/>
        <v>5.8548276649166859E-3</v>
      </c>
      <c r="AA35" s="31">
        <f>W35/U35</f>
        <v>0.25031526898220996</v>
      </c>
      <c r="AB35" s="31">
        <f>Z35/U35</f>
        <v>3.5232700173353001E-3</v>
      </c>
      <c r="AC35" s="31">
        <f>AA40/AB40</f>
        <v>73.486936844270744</v>
      </c>
      <c r="AD35" s="28">
        <f t="shared" si="14"/>
        <v>6.3469675599435824</v>
      </c>
      <c r="AE35" s="28">
        <f t="shared" si="15"/>
        <v>0.15615890730407264</v>
      </c>
      <c r="AF35" s="28">
        <f t="shared" si="18"/>
        <v>0.21772788852332109</v>
      </c>
      <c r="AG35" s="28">
        <f t="shared" si="10"/>
        <v>-0.60151265805272525</v>
      </c>
      <c r="AH35" s="28">
        <f t="shared" si="10"/>
        <v>-2.4530540719635057</v>
      </c>
    </row>
    <row r="36" spans="1:34" ht="19.5" customHeight="1" x14ac:dyDescent="0.55000000000000004">
      <c r="A36" s="37">
        <v>39624</v>
      </c>
      <c r="B36" s="28" t="s">
        <v>169</v>
      </c>
      <c r="C36" s="29" t="s">
        <v>170</v>
      </c>
      <c r="D36" s="29">
        <v>1.02</v>
      </c>
      <c r="E36" s="29"/>
      <c r="F36" s="29"/>
      <c r="G36" s="29"/>
      <c r="H36" s="29"/>
      <c r="I36" s="29"/>
      <c r="J36" s="29"/>
      <c r="K36" s="29"/>
      <c r="L36" s="29"/>
      <c r="M36" s="41">
        <v>234</v>
      </c>
      <c r="N36" s="42">
        <v>14</v>
      </c>
      <c r="O36" s="43">
        <v>6.5</v>
      </c>
      <c r="P36" s="43">
        <v>0.33</v>
      </c>
      <c r="S36" s="79">
        <v>8.3506793802668344</v>
      </c>
      <c r="T36" s="29"/>
      <c r="U36" s="29"/>
      <c r="V36" s="29"/>
      <c r="W36" s="29"/>
      <c r="X36" s="29"/>
      <c r="Y36" s="29"/>
      <c r="Z36" s="29"/>
      <c r="AA36" s="31"/>
      <c r="AB36" s="31"/>
      <c r="AC36" s="31">
        <f>AA42/AB42</f>
        <v>65.506716949894965</v>
      </c>
      <c r="AD36" s="28">
        <f t="shared" si="14"/>
        <v>6.6008462623413262</v>
      </c>
      <c r="AE36" s="28">
        <f t="shared" si="15"/>
        <v>0.1457483134838011</v>
      </c>
      <c r="AF36" s="28">
        <f t="shared" si="18"/>
        <v>0.10483194632604349</v>
      </c>
      <c r="AG36" s="28"/>
      <c r="AH36" s="28"/>
    </row>
    <row r="37" spans="1:34" ht="18.75" customHeight="1" x14ac:dyDescent="0.55000000000000004">
      <c r="A37" s="37">
        <v>39672</v>
      </c>
      <c r="B37" s="28" t="s">
        <v>171</v>
      </c>
      <c r="C37" s="29" t="s">
        <v>172</v>
      </c>
      <c r="D37" s="29">
        <v>1.0209999999999999</v>
      </c>
      <c r="E37" s="38">
        <v>1.4999999999999999E-2</v>
      </c>
      <c r="F37" s="38">
        <v>61.6</v>
      </c>
      <c r="G37" s="38">
        <v>6.0000000000000001E-3</v>
      </c>
      <c r="H37" s="38">
        <v>2.1</v>
      </c>
      <c r="I37" s="38">
        <v>10.83</v>
      </c>
      <c r="J37" s="38">
        <v>102</v>
      </c>
      <c r="K37" s="38">
        <v>4.7</v>
      </c>
      <c r="L37" s="38">
        <v>0.53800000000000003</v>
      </c>
      <c r="M37" s="41">
        <v>246</v>
      </c>
      <c r="N37" s="42">
        <v>14</v>
      </c>
      <c r="O37" s="43">
        <v>5</v>
      </c>
      <c r="P37" s="43">
        <v>0.25</v>
      </c>
      <c r="S37" s="79">
        <v>12.812868217621064</v>
      </c>
      <c r="T37" s="29">
        <f t="shared" si="7"/>
        <v>1.0922833820006262E-4</v>
      </c>
      <c r="U37" s="29">
        <f t="shared" si="8"/>
        <v>1.5370028444533161</v>
      </c>
      <c r="V37" s="29">
        <f t="shared" si="0"/>
        <v>5.3711187273006292E-2</v>
      </c>
      <c r="W37" s="29">
        <f t="shared" si="1"/>
        <v>0.4455873277103477</v>
      </c>
      <c r="X37" s="29">
        <f t="shared" si="2"/>
        <v>4.436904606550959</v>
      </c>
      <c r="Y37" s="29">
        <f t="shared" si="3"/>
        <v>0.14660012476606363</v>
      </c>
      <c r="Z37" s="29">
        <f t="shared" si="4"/>
        <v>6.1401506505364082E-3</v>
      </c>
      <c r="AA37" s="31">
        <f>W37/U37</f>
        <v>0.28990663831128755</v>
      </c>
      <c r="AB37" s="31">
        <f>Z37/U37</f>
        <v>3.9948856781201001E-3</v>
      </c>
      <c r="AC37" s="31">
        <f>AA46/AB46</f>
        <v>68.800601810421256</v>
      </c>
      <c r="AD37" s="28">
        <f t="shared" si="14"/>
        <v>6.9393511988716501</v>
      </c>
      <c r="AE37" s="28">
        <f t="shared" si="15"/>
        <v>0.1457483134838011</v>
      </c>
      <c r="AF37" s="28">
        <f t="shared" si="18"/>
        <v>8.0639958712341128E-2</v>
      </c>
      <c r="AG37" s="28">
        <f t="shared" si="10"/>
        <v>-0.53774184001253045</v>
      </c>
      <c r="AH37" s="28">
        <f t="shared" si="10"/>
        <v>-2.3984956444030572</v>
      </c>
    </row>
    <row r="38" spans="1:34" ht="17.25" customHeight="1" x14ac:dyDescent="0.55000000000000004">
      <c r="A38" s="37">
        <v>39693</v>
      </c>
      <c r="B38" s="28" t="s">
        <v>173</v>
      </c>
      <c r="C38" s="29" t="s">
        <v>174</v>
      </c>
      <c r="D38" s="29">
        <v>1.02</v>
      </c>
      <c r="E38" s="29"/>
      <c r="F38" s="29"/>
      <c r="G38" s="29"/>
      <c r="H38" s="29"/>
      <c r="I38" s="29"/>
      <c r="J38" s="29"/>
      <c r="K38" s="29"/>
      <c r="L38" s="29"/>
      <c r="M38" s="41">
        <v>245</v>
      </c>
      <c r="N38" s="42">
        <v>14</v>
      </c>
      <c r="O38" s="43">
        <v>5.6</v>
      </c>
      <c r="P38" s="43">
        <v>0.25</v>
      </c>
      <c r="S38" s="79">
        <v>11.223790214194489</v>
      </c>
      <c r="T38" s="29"/>
      <c r="U38" s="29"/>
      <c r="V38" s="29"/>
      <c r="W38" s="29"/>
      <c r="X38" s="29"/>
      <c r="Y38" s="29"/>
      <c r="Z38" s="29"/>
      <c r="AA38" s="31"/>
      <c r="AB38" s="31"/>
      <c r="AC38" s="31">
        <f>AA47/AB47</f>
        <v>70.018970806432705</v>
      </c>
      <c r="AD38" s="28">
        <f t="shared" si="14"/>
        <v>6.9111424541607898</v>
      </c>
      <c r="AE38" s="28">
        <f t="shared" si="15"/>
        <v>0.1457483134838011</v>
      </c>
      <c r="AF38" s="28">
        <f t="shared" si="18"/>
        <v>9.0316753757822082E-2</v>
      </c>
      <c r="AG38" s="28"/>
      <c r="AH38" s="28"/>
    </row>
    <row r="39" spans="1:34" ht="18.75" customHeight="1" x14ac:dyDescent="0.55000000000000004">
      <c r="A39" s="37">
        <v>39751</v>
      </c>
      <c r="B39" s="28" t="s">
        <v>175</v>
      </c>
      <c r="C39" s="29" t="s">
        <v>176</v>
      </c>
      <c r="D39" s="29">
        <v>0.98467153284671527</v>
      </c>
      <c r="E39" s="38">
        <v>1.4E-2</v>
      </c>
      <c r="F39" s="38">
        <v>61.4</v>
      </c>
      <c r="G39" s="38" t="s">
        <v>119</v>
      </c>
      <c r="H39" s="38">
        <v>2</v>
      </c>
      <c r="I39" s="38">
        <v>10.02</v>
      </c>
      <c r="J39" s="38">
        <v>93.7</v>
      </c>
      <c r="K39" s="38">
        <v>4.3</v>
      </c>
      <c r="L39" s="46">
        <v>0.49</v>
      </c>
      <c r="M39" s="41">
        <v>227</v>
      </c>
      <c r="N39" s="42">
        <v>13</v>
      </c>
      <c r="O39" s="43">
        <v>4.0999999999999996</v>
      </c>
      <c r="P39" s="43"/>
      <c r="S39" s="79">
        <v>6.0490290094871568</v>
      </c>
      <c r="T39" s="29">
        <f t="shared" si="7"/>
        <v>1.0194644898672512E-4</v>
      </c>
      <c r="U39" s="29">
        <f t="shared" si="8"/>
        <v>1.5320125754778182</v>
      </c>
      <c r="V39" s="29">
        <f t="shared" si="0"/>
        <v>5.1153511688577423E-2</v>
      </c>
      <c r="W39" s="29">
        <f t="shared" si="1"/>
        <v>0.41226085167660975</v>
      </c>
      <c r="X39" s="29">
        <f t="shared" si="2"/>
        <v>4.0758623689590676</v>
      </c>
      <c r="Y39" s="29">
        <f t="shared" si="3"/>
        <v>0.13412351840299438</v>
      </c>
      <c r="Z39" s="29">
        <f t="shared" si="4"/>
        <v>5.5923305181465417E-3</v>
      </c>
      <c r="AA39" s="31">
        <f>W39/U39</f>
        <v>0.26909756373770627</v>
      </c>
      <c r="AB39" s="31">
        <f>Z39/U39</f>
        <v>3.6503163274637963E-3</v>
      </c>
      <c r="AC39" s="31">
        <f>AA48/AB48</f>
        <v>71.784161081576599</v>
      </c>
      <c r="AD39" s="28">
        <f t="shared" si="14"/>
        <v>6.4033850493653039</v>
      </c>
      <c r="AE39" s="28">
        <f t="shared" si="15"/>
        <v>0.13533771966352962</v>
      </c>
      <c r="AF39" s="28">
        <f t="shared" si="18"/>
        <v>6.6124766144119718E-2</v>
      </c>
      <c r="AG39" s="28">
        <f t="shared" si="10"/>
        <v>-0.57009023408336601</v>
      </c>
      <c r="AH39" s="28">
        <f t="shared" si="10"/>
        <v>-2.4376694990176748</v>
      </c>
    </row>
    <row r="40" spans="1:34" ht="18.75" customHeight="1" x14ac:dyDescent="0.55000000000000004">
      <c r="A40" s="37">
        <v>39784</v>
      </c>
      <c r="B40" s="28" t="s">
        <v>177</v>
      </c>
      <c r="C40" s="29" t="s">
        <v>178</v>
      </c>
      <c r="D40" s="29">
        <v>1.0269999999999999</v>
      </c>
      <c r="E40" s="38">
        <v>1.2999999999999999E-2</v>
      </c>
      <c r="F40" s="38">
        <v>62</v>
      </c>
      <c r="G40" s="38" t="s">
        <v>119</v>
      </c>
      <c r="H40" s="38">
        <v>1.9</v>
      </c>
      <c r="I40" s="38">
        <v>10.07</v>
      </c>
      <c r="J40" s="38">
        <v>94.4</v>
      </c>
      <c r="K40" s="38">
        <v>4.3</v>
      </c>
      <c r="L40" s="38">
        <v>0.49399999999999999</v>
      </c>
      <c r="M40" s="41">
        <v>228</v>
      </c>
      <c r="N40" s="42">
        <v>13</v>
      </c>
      <c r="O40" s="43">
        <v>4.0999999999999996</v>
      </c>
      <c r="P40" s="43"/>
      <c r="S40" s="79">
        <v>4.4198231423105865</v>
      </c>
      <c r="T40" s="29">
        <f t="shared" si="7"/>
        <v>9.4664559773387596E-5</v>
      </c>
      <c r="U40" s="29">
        <f t="shared" si="8"/>
        <v>1.5469833824043115</v>
      </c>
      <c r="V40" s="29">
        <f t="shared" si="0"/>
        <v>4.8595836104148547E-2</v>
      </c>
      <c r="W40" s="29">
        <f t="shared" si="1"/>
        <v>0.41431804155523555</v>
      </c>
      <c r="X40" s="29">
        <f t="shared" si="2"/>
        <v>4.1063117142981431</v>
      </c>
      <c r="Y40" s="29">
        <f t="shared" si="3"/>
        <v>0.13412351840299438</v>
      </c>
      <c r="Z40" s="29">
        <f t="shared" si="4"/>
        <v>5.637982195845697E-3</v>
      </c>
      <c r="AA40" s="31">
        <f>W40/U40</f>
        <v>0.2678232011201731</v>
      </c>
      <c r="AB40" s="31">
        <f>Z40/U40</f>
        <v>3.6445008136307072E-3</v>
      </c>
      <c r="AC40" s="31"/>
      <c r="AD40" s="28">
        <f t="shared" si="14"/>
        <v>6.4315937940761634</v>
      </c>
      <c r="AE40" s="28">
        <f t="shared" si="15"/>
        <v>0.13533771966352962</v>
      </c>
      <c r="AF40" s="28">
        <f t="shared" si="18"/>
        <v>6.6124766144119718E-2</v>
      </c>
      <c r="AG40" s="28">
        <f t="shared" si="10"/>
        <v>-0.57215180341806104</v>
      </c>
      <c r="AH40" s="28">
        <f t="shared" si="10"/>
        <v>-2.4383619484796277</v>
      </c>
    </row>
    <row r="41" spans="1:34" ht="19.5" customHeight="1" x14ac:dyDescent="0.55000000000000004">
      <c r="A41" s="37">
        <v>39812</v>
      </c>
      <c r="B41" s="28"/>
      <c r="C41" s="29" t="s">
        <v>179</v>
      </c>
      <c r="D41" s="29">
        <v>1.022</v>
      </c>
      <c r="E41" s="38"/>
      <c r="F41" s="38"/>
      <c r="G41" s="38"/>
      <c r="H41" s="38"/>
      <c r="I41" s="38"/>
      <c r="J41" s="38"/>
      <c r="K41" s="38"/>
      <c r="L41" s="38"/>
      <c r="M41" s="28">
        <v>220</v>
      </c>
      <c r="N41" s="28">
        <v>12.1</v>
      </c>
      <c r="O41" s="28"/>
      <c r="P41" s="43">
        <v>0.5</v>
      </c>
      <c r="S41" s="79">
        <v>3.0555020608693155</v>
      </c>
      <c r="T41" s="29"/>
      <c r="U41" s="29"/>
      <c r="V41" s="29"/>
      <c r="W41" s="29"/>
      <c r="X41" s="29"/>
      <c r="Y41" s="29"/>
      <c r="Z41" s="29"/>
      <c r="AA41" s="31"/>
      <c r="AB41" s="31"/>
      <c r="AC41" s="31"/>
      <c r="AD41" s="28">
        <f t="shared" si="14"/>
        <v>6.2059238363892808</v>
      </c>
      <c r="AE41" s="28">
        <f t="shared" si="15"/>
        <v>0.12596818522528525</v>
      </c>
      <c r="AF41" s="28">
        <f t="shared" si="18"/>
        <v>0</v>
      </c>
      <c r="AG41" s="28"/>
      <c r="AH41" s="28"/>
    </row>
    <row r="42" spans="1:34" ht="17.25" customHeight="1" x14ac:dyDescent="0.55000000000000004">
      <c r="A42" s="37">
        <v>39877</v>
      </c>
      <c r="B42" s="28" t="s">
        <v>180</v>
      </c>
      <c r="C42" s="29" t="s">
        <v>181</v>
      </c>
      <c r="D42" s="29"/>
      <c r="E42" s="47">
        <v>1.4E-2</v>
      </c>
      <c r="F42" s="47">
        <v>71.099999999999994</v>
      </c>
      <c r="G42" s="47" t="s">
        <v>182</v>
      </c>
      <c r="H42" s="47">
        <v>2.35</v>
      </c>
      <c r="I42" s="48">
        <v>9.14</v>
      </c>
      <c r="J42" s="47">
        <v>93.2</v>
      </c>
      <c r="K42" s="47">
        <v>4.7</v>
      </c>
      <c r="L42" s="47">
        <v>0.503</v>
      </c>
      <c r="M42" s="49">
        <v>230</v>
      </c>
      <c r="N42" s="49">
        <v>14</v>
      </c>
      <c r="O42" s="49">
        <v>8.1</v>
      </c>
      <c r="P42" s="43">
        <v>0.8</v>
      </c>
      <c r="S42" s="79">
        <v>2.1738817534971893</v>
      </c>
      <c r="T42" s="29">
        <f t="shared" si="7"/>
        <v>1.0194644898672512E-4</v>
      </c>
      <c r="U42" s="29">
        <f t="shared" si="8"/>
        <v>1.7740406207894603</v>
      </c>
      <c r="V42" s="29">
        <f t="shared" si="0"/>
        <v>6.0105376234078474E-2</v>
      </c>
      <c r="W42" s="29">
        <f t="shared" si="1"/>
        <v>0.37605430981279575</v>
      </c>
      <c r="X42" s="29">
        <f t="shared" si="2"/>
        <v>4.0541128365740136</v>
      </c>
      <c r="Y42" s="29">
        <f t="shared" si="3"/>
        <v>0.14660012476606363</v>
      </c>
      <c r="Z42" s="29">
        <f t="shared" si="4"/>
        <v>5.7406984706687971E-3</v>
      </c>
      <c r="AA42" s="31">
        <f>W42/U42</f>
        <v>0.21197615511501028</v>
      </c>
      <c r="AB42" s="31">
        <f>Z42/U42</f>
        <v>3.235945334844783E-3</v>
      </c>
      <c r="AC42" s="31"/>
      <c r="AD42" s="28">
        <f t="shared" si="14"/>
        <v>6.488011283497884</v>
      </c>
      <c r="AE42" s="28">
        <f t="shared" si="15"/>
        <v>0.1457483134838011</v>
      </c>
      <c r="AF42" s="28">
        <f t="shared" si="18"/>
        <v>0.13063673311399263</v>
      </c>
      <c r="AG42" s="28">
        <f t="shared" si="10"/>
        <v>-0.67371298946936009</v>
      </c>
      <c r="AH42" s="28">
        <f t="shared" si="10"/>
        <v>-2.4899988235788597</v>
      </c>
    </row>
    <row r="43" spans="1:34" ht="19.5" customHeight="1" x14ac:dyDescent="0.55000000000000004">
      <c r="A43" s="37">
        <v>39946</v>
      </c>
      <c r="B43" s="28" t="s">
        <v>183</v>
      </c>
      <c r="C43" s="29"/>
      <c r="D43" s="29"/>
      <c r="E43" s="47"/>
      <c r="F43" s="47"/>
      <c r="G43" s="47"/>
      <c r="H43" s="47"/>
      <c r="I43" s="50"/>
      <c r="J43" s="47"/>
      <c r="K43" s="47"/>
      <c r="L43" s="47"/>
      <c r="M43" s="28">
        <v>209</v>
      </c>
      <c r="N43" s="28">
        <v>12.2</v>
      </c>
      <c r="O43" s="49"/>
      <c r="P43" s="43">
        <v>0.75</v>
      </c>
      <c r="S43" s="79">
        <v>1.9691085040285354</v>
      </c>
      <c r="T43" s="29"/>
      <c r="U43" s="29"/>
      <c r="V43" s="29"/>
      <c r="W43" s="29"/>
      <c r="X43" s="29"/>
      <c r="Y43" s="29"/>
      <c r="Z43" s="29"/>
      <c r="AA43" s="31"/>
      <c r="AB43" s="31"/>
      <c r="AC43" s="31"/>
      <c r="AD43" s="51">
        <v>6.197183098591549</v>
      </c>
      <c r="AE43" s="28">
        <f t="shared" si="15"/>
        <v>0.12700924460731239</v>
      </c>
      <c r="AF43" s="28">
        <f t="shared" si="18"/>
        <v>0</v>
      </c>
      <c r="AG43" s="28"/>
      <c r="AH43" s="28"/>
    </row>
    <row r="44" spans="1:34" ht="19.5" customHeight="1" x14ac:dyDescent="0.55000000000000004">
      <c r="A44" s="37">
        <v>40065</v>
      </c>
      <c r="B44" s="28"/>
      <c r="C44" s="29"/>
      <c r="D44" s="29"/>
      <c r="E44" s="47"/>
      <c r="F44" s="47"/>
      <c r="G44" s="47"/>
      <c r="H44" s="47"/>
      <c r="I44" s="50"/>
      <c r="J44" s="47"/>
      <c r="K44" s="47"/>
      <c r="L44" s="47"/>
      <c r="M44" s="28">
        <v>211</v>
      </c>
      <c r="N44" s="28">
        <v>13.6</v>
      </c>
      <c r="O44" s="49"/>
      <c r="P44" s="43">
        <v>0.33</v>
      </c>
      <c r="S44" s="79">
        <v>11.093645111821095</v>
      </c>
      <c r="T44" s="29"/>
      <c r="U44" s="29"/>
      <c r="V44" s="29"/>
      <c r="W44" s="29"/>
      <c r="X44" s="29"/>
      <c r="Y44" s="29"/>
      <c r="Z44" s="29"/>
      <c r="AA44" s="31"/>
      <c r="AB44" s="31"/>
      <c r="AC44" s="31"/>
      <c r="AD44" s="28">
        <f t="shared" si="14"/>
        <v>5.952045133991537</v>
      </c>
      <c r="AE44" s="28">
        <f t="shared" si="15"/>
        <v>0.14158407595569253</v>
      </c>
      <c r="AF44" s="28">
        <f t="shared" si="18"/>
        <v>0</v>
      </c>
      <c r="AG44" s="28"/>
      <c r="AH44" s="28"/>
    </row>
    <row r="45" spans="1:34" ht="21.75" customHeight="1" x14ac:dyDescent="0.55000000000000004">
      <c r="A45" s="37">
        <v>40126</v>
      </c>
      <c r="B45" s="28"/>
      <c r="C45" s="29"/>
      <c r="D45" s="29"/>
      <c r="E45" s="47"/>
      <c r="F45" s="47"/>
      <c r="G45" s="47"/>
      <c r="H45" s="47"/>
      <c r="I45" s="50"/>
      <c r="J45" s="47"/>
      <c r="K45" s="47"/>
      <c r="L45" s="47"/>
      <c r="M45" s="28">
        <v>223</v>
      </c>
      <c r="N45" s="28">
        <v>14.8</v>
      </c>
      <c r="O45" s="49"/>
      <c r="P45" s="43">
        <v>0.75</v>
      </c>
      <c r="S45" s="79">
        <v>11.325220343826055</v>
      </c>
      <c r="T45" s="29"/>
      <c r="U45" s="29"/>
      <c r="V45" s="29"/>
      <c r="W45" s="29"/>
      <c r="X45" s="29"/>
      <c r="Y45" s="29"/>
      <c r="Z45" s="29"/>
      <c r="AA45" s="31"/>
      <c r="AB45" s="31"/>
      <c r="AC45" s="31"/>
      <c r="AD45" s="28">
        <f t="shared" si="14"/>
        <v>6.2905500705218618</v>
      </c>
      <c r="AE45" s="28">
        <f t="shared" si="15"/>
        <v>0.15407678854001833</v>
      </c>
      <c r="AF45" s="28">
        <f t="shared" si="18"/>
        <v>0</v>
      </c>
      <c r="AG45" s="28"/>
      <c r="AH45" s="28"/>
    </row>
    <row r="46" spans="1:34" ht="21.75" customHeight="1" x14ac:dyDescent="0.55000000000000004">
      <c r="A46" s="37">
        <v>40273</v>
      </c>
      <c r="B46" s="28"/>
      <c r="C46" s="29" t="s">
        <v>184</v>
      </c>
      <c r="D46" s="29"/>
      <c r="E46" s="47">
        <v>1.0999999999999999E-2</v>
      </c>
      <c r="F46" s="47">
        <v>56.5</v>
      </c>
      <c r="G46" s="47" t="s">
        <v>182</v>
      </c>
      <c r="H46" s="47">
        <v>1.84</v>
      </c>
      <c r="I46" s="47">
        <v>8.34</v>
      </c>
      <c r="J46" s="47">
        <v>92.4</v>
      </c>
      <c r="K46" s="47">
        <v>5.15</v>
      </c>
      <c r="L46" s="47">
        <v>0.437</v>
      </c>
      <c r="M46" s="28"/>
      <c r="N46" s="28"/>
      <c r="O46" s="28"/>
      <c r="P46" s="43">
        <v>0.75</v>
      </c>
      <c r="S46" s="77"/>
      <c r="T46" s="29">
        <f t="shared" si="7"/>
        <v>8.0100781346712586E-5</v>
      </c>
      <c r="U46" s="29">
        <f>(F46/40078)*1000</f>
        <v>1.4097509855781225</v>
      </c>
      <c r="V46" s="29">
        <f t="shared" si="0"/>
        <v>4.706123075349123E-2</v>
      </c>
      <c r="W46" s="29">
        <f t="shared" si="1"/>
        <v>0.34313927175478298</v>
      </c>
      <c r="X46" s="29">
        <f t="shared" si="2"/>
        <v>4.0193135847579278</v>
      </c>
      <c r="Y46" s="29">
        <f t="shared" si="3"/>
        <v>0.16063630692451653</v>
      </c>
      <c r="Z46" s="29">
        <f t="shared" si="4"/>
        <v>4.9874457886327321E-3</v>
      </c>
      <c r="AA46" s="31">
        <f>W46/U46</f>
        <v>0.24340417227235742</v>
      </c>
      <c r="AB46" s="31">
        <f>Z46/U46</f>
        <v>3.5378203949880116E-3</v>
      </c>
      <c r="AC46" s="31"/>
      <c r="AD46" s="28"/>
      <c r="AE46" s="28"/>
      <c r="AF46" s="28">
        <f t="shared" si="18"/>
        <v>0</v>
      </c>
      <c r="AG46" s="28">
        <f t="shared" si="10"/>
        <v>-0.61367198165512504</v>
      </c>
      <c r="AH46" s="28">
        <f t="shared" si="10"/>
        <v>-2.4512642187540377</v>
      </c>
    </row>
    <row r="47" spans="1:34" ht="18.75" customHeight="1" x14ac:dyDescent="0.55000000000000004">
      <c r="A47" s="37">
        <v>40330</v>
      </c>
      <c r="B47" s="28"/>
      <c r="C47" s="29" t="s">
        <v>185</v>
      </c>
      <c r="D47" s="29"/>
      <c r="E47" s="47">
        <v>1.0999999999999999E-2</v>
      </c>
      <c r="F47" s="47">
        <v>49.1</v>
      </c>
      <c r="G47" s="47" t="s">
        <v>182</v>
      </c>
      <c r="H47" s="47">
        <v>1.89</v>
      </c>
      <c r="I47" s="47">
        <v>8.41</v>
      </c>
      <c r="J47" s="47">
        <v>95.5</v>
      </c>
      <c r="K47" s="47">
        <v>5.37</v>
      </c>
      <c r="L47" s="47">
        <v>0.433</v>
      </c>
      <c r="M47" s="28">
        <v>174</v>
      </c>
      <c r="N47" s="28">
        <v>14</v>
      </c>
      <c r="O47" s="28"/>
      <c r="P47" s="43">
        <v>0.5</v>
      </c>
      <c r="S47" s="79">
        <v>6.8849145262299345</v>
      </c>
      <c r="T47" s="29">
        <f t="shared" si="7"/>
        <v>8.0100781346712586E-5</v>
      </c>
      <c r="U47" s="29">
        <f t="shared" si="8"/>
        <v>1.2251110334847048</v>
      </c>
      <c r="V47" s="29">
        <f>(H47/39098)*1000</f>
        <v>4.8340068545705661E-2</v>
      </c>
      <c r="W47" s="29">
        <f t="shared" si="1"/>
        <v>0.34601933758485909</v>
      </c>
      <c r="X47" s="29">
        <f t="shared" si="2"/>
        <v>4.1541606855452606</v>
      </c>
      <c r="Y47" s="29">
        <f t="shared" si="3"/>
        <v>0.16749844042420461</v>
      </c>
      <c r="Z47" s="29">
        <f t="shared" si="4"/>
        <v>4.9417941109335768E-3</v>
      </c>
      <c r="AA47" s="31">
        <f>W47/U47</f>
        <v>0.28243916520826851</v>
      </c>
      <c r="AB47" s="31">
        <f>Z47/U47</f>
        <v>4.0337520239917693E-3</v>
      </c>
      <c r="AC47" s="31"/>
      <c r="AD47" s="28">
        <f t="shared" si="14"/>
        <v>4.9083215796897033</v>
      </c>
      <c r="AE47" s="28">
        <f t="shared" si="15"/>
        <v>0.1457483134838011</v>
      </c>
      <c r="AF47" s="28">
        <f t="shared" si="18"/>
        <v>0</v>
      </c>
      <c r="AG47" s="28">
        <f t="shared" si="10"/>
        <v>-0.54907508079848155</v>
      </c>
      <c r="AH47" s="28">
        <f t="shared" si="10"/>
        <v>-2.394290803674624</v>
      </c>
    </row>
    <row r="48" spans="1:34" ht="21" customHeight="1" x14ac:dyDescent="0.55000000000000004">
      <c r="A48" s="37">
        <v>40395</v>
      </c>
      <c r="B48" s="28"/>
      <c r="C48" s="29" t="s">
        <v>186</v>
      </c>
      <c r="D48" s="29"/>
      <c r="E48" s="47">
        <v>1.0999999999999999E-2</v>
      </c>
      <c r="F48" s="47">
        <v>42.6</v>
      </c>
      <c r="G48" s="47" t="s">
        <v>182</v>
      </c>
      <c r="H48" s="47">
        <v>2.1</v>
      </c>
      <c r="I48" s="47">
        <v>9.08</v>
      </c>
      <c r="J48" s="47">
        <v>97.8</v>
      </c>
      <c r="K48" s="47">
        <v>6.01</v>
      </c>
      <c r="L48" s="47">
        <v>0.45600000000000002</v>
      </c>
      <c r="M48" s="28"/>
      <c r="N48" s="28"/>
      <c r="O48" s="28"/>
      <c r="P48" s="43">
        <v>0.375</v>
      </c>
      <c r="S48" s="77"/>
      <c r="T48" s="29">
        <f t="shared" si="7"/>
        <v>8.0100781346712586E-5</v>
      </c>
      <c r="U48" s="29">
        <f t="shared" si="8"/>
        <v>1.0629272917810271</v>
      </c>
      <c r="V48" s="29">
        <f t="shared" si="0"/>
        <v>5.3711187273006292E-2</v>
      </c>
      <c r="W48" s="29">
        <f t="shared" si="1"/>
        <v>0.37358568195844477</v>
      </c>
      <c r="X48" s="29">
        <f t="shared" si="2"/>
        <v>4.2542085345165077</v>
      </c>
      <c r="Y48" s="29">
        <f t="shared" si="3"/>
        <v>0.18746101060511541</v>
      </c>
      <c r="Z48" s="29">
        <f t="shared" si="4"/>
        <v>5.204291257703721E-3</v>
      </c>
      <c r="AA48" s="31">
        <f>W48/U48</f>
        <v>0.35146870801714902</v>
      </c>
      <c r="AB48" s="31">
        <f>Z48/U48</f>
        <v>4.8961874419307444E-3</v>
      </c>
      <c r="AC48" s="31"/>
      <c r="AD48" s="28"/>
      <c r="AE48" s="28"/>
      <c r="AF48" s="28">
        <f t="shared" si="18"/>
        <v>0</v>
      </c>
      <c r="AG48" s="28">
        <f t="shared" si="10"/>
        <v>-0.45411333505505913</v>
      </c>
      <c r="AH48" s="28">
        <f t="shared" si="10"/>
        <v>-2.310141964343305</v>
      </c>
    </row>
    <row r="49" spans="1:34" ht="21.75" customHeight="1" x14ac:dyDescent="0.55000000000000004">
      <c r="A49" s="37">
        <v>40274</v>
      </c>
      <c r="B49" s="28"/>
      <c r="C49" s="29" t="s">
        <v>187</v>
      </c>
      <c r="D49" s="29"/>
      <c r="E49" s="52"/>
      <c r="F49" s="47"/>
      <c r="G49" s="47"/>
      <c r="H49" s="47"/>
      <c r="I49" s="47"/>
      <c r="J49" s="47"/>
      <c r="K49" s="47"/>
      <c r="L49" s="47"/>
      <c r="M49" s="28"/>
      <c r="N49" s="28"/>
      <c r="O49" s="28"/>
      <c r="S49" s="77"/>
      <c r="T49" s="29"/>
      <c r="U49" s="29"/>
      <c r="V49" s="29"/>
      <c r="W49" s="29"/>
      <c r="X49" s="29"/>
      <c r="Y49" s="29"/>
      <c r="Z49" s="29"/>
      <c r="AA49" s="31"/>
      <c r="AB49" s="31"/>
      <c r="AC49" s="31"/>
      <c r="AD49" s="28"/>
      <c r="AE49" s="28"/>
      <c r="AF49" s="28">
        <f t="shared" si="18"/>
        <v>0</v>
      </c>
      <c r="AG49" s="28"/>
      <c r="AH49" s="28"/>
    </row>
    <row r="50" spans="1:34" ht="20.25" customHeight="1" x14ac:dyDescent="0.55000000000000004">
      <c r="A50" s="54">
        <v>40457</v>
      </c>
      <c r="B50" s="30"/>
      <c r="C50" s="29" t="s">
        <v>188</v>
      </c>
      <c r="D50" s="29"/>
      <c r="E50" s="55">
        <v>1.2E-2</v>
      </c>
      <c r="F50" s="55">
        <v>52.7</v>
      </c>
      <c r="G50" s="29"/>
      <c r="H50" s="29"/>
      <c r="I50" s="48">
        <v>10.5</v>
      </c>
      <c r="J50" s="29"/>
      <c r="K50" s="29"/>
      <c r="L50" s="29"/>
      <c r="M50" s="49">
        <v>218</v>
      </c>
      <c r="N50" s="49">
        <v>21.1</v>
      </c>
      <c r="O50" s="49">
        <v>11.9</v>
      </c>
      <c r="P50" s="43">
        <v>0.25</v>
      </c>
      <c r="S50" s="79">
        <v>19.173868257820985</v>
      </c>
      <c r="T50" s="29">
        <f t="shared" si="7"/>
        <v>8.7382670560050098E-5</v>
      </c>
      <c r="U50" s="29">
        <f t="shared" si="8"/>
        <v>1.3149358750436648</v>
      </c>
      <c r="V50" s="29"/>
      <c r="W50" s="29">
        <f t="shared" si="1"/>
        <v>0.43200987451141742</v>
      </c>
      <c r="X50" s="29"/>
      <c r="Y50" s="29"/>
      <c r="Z50" s="29"/>
      <c r="AA50" s="31"/>
      <c r="AB50" s="31"/>
      <c r="AC50" s="31"/>
      <c r="AD50" s="28">
        <f t="shared" si="14"/>
        <v>6.1495063469675593</v>
      </c>
      <c r="AE50" s="28">
        <f t="shared" si="15"/>
        <v>0.21966352960772884</v>
      </c>
      <c r="AF50" s="28">
        <f t="shared" si="18"/>
        <v>0.19192310173537194</v>
      </c>
      <c r="AG50" s="28"/>
      <c r="AH50" s="28"/>
    </row>
    <row r="51" spans="1:34" ht="19.5" customHeight="1" x14ac:dyDescent="0.55000000000000004">
      <c r="A51" s="54">
        <v>40560</v>
      </c>
      <c r="B51" s="30"/>
      <c r="C51" s="29" t="s">
        <v>189</v>
      </c>
      <c r="D51" s="29"/>
      <c r="E51" s="52">
        <v>1.2999999999999999E-2</v>
      </c>
      <c r="F51" s="52">
        <v>64.2</v>
      </c>
      <c r="G51" s="29"/>
      <c r="H51" s="29"/>
      <c r="I51" s="48">
        <v>8.4600000000000009</v>
      </c>
      <c r="J51" s="29"/>
      <c r="K51" s="29"/>
      <c r="L51" s="29"/>
      <c r="M51" s="49">
        <v>170</v>
      </c>
      <c r="N51" s="49">
        <v>17.7</v>
      </c>
      <c r="O51" s="49">
        <v>9.85</v>
      </c>
      <c r="P51" s="43">
        <v>0.2</v>
      </c>
      <c r="S51" s="79">
        <v>10.454508101731014</v>
      </c>
      <c r="T51" s="29">
        <f t="shared" si="7"/>
        <v>9.4664559773387596E-5</v>
      </c>
      <c r="U51" s="29">
        <f t="shared" si="8"/>
        <v>1.6018763411347872</v>
      </c>
      <c r="V51" s="29"/>
      <c r="W51" s="29">
        <f t="shared" si="1"/>
        <v>0.34807652746348489</v>
      </c>
      <c r="X51" s="29"/>
      <c r="Y51" s="29"/>
      <c r="Z51" s="29"/>
      <c r="AA51" s="31"/>
      <c r="AB51" s="31"/>
      <c r="AC51" s="31"/>
      <c r="AD51" s="28">
        <f t="shared" si="14"/>
        <v>4.795486600846262</v>
      </c>
      <c r="AE51" s="28">
        <f t="shared" si="15"/>
        <v>0.18426751061880567</v>
      </c>
      <c r="AF51" s="28">
        <f t="shared" si="18"/>
        <v>0.15886071866331203</v>
      </c>
      <c r="AG51" s="28"/>
      <c r="AH51" s="28"/>
    </row>
    <row r="52" spans="1:34" ht="18.75" customHeight="1" thickBot="1" x14ac:dyDescent="0.6">
      <c r="A52" s="54">
        <v>40604</v>
      </c>
      <c r="B52" s="30"/>
      <c r="C52" s="29" t="s">
        <v>190</v>
      </c>
      <c r="D52" s="29"/>
      <c r="E52" s="56">
        <v>1.2E-2</v>
      </c>
      <c r="F52" s="56">
        <v>45.9</v>
      </c>
      <c r="G52" s="29"/>
      <c r="H52" s="29"/>
      <c r="I52" s="76">
        <v>9.69</v>
      </c>
      <c r="J52" s="29"/>
      <c r="K52" s="29"/>
      <c r="L52" s="29"/>
      <c r="M52" s="75">
        <v>203</v>
      </c>
      <c r="N52" s="75">
        <v>18.899999999999999</v>
      </c>
      <c r="O52" s="75">
        <v>8.4600000000000009</v>
      </c>
      <c r="P52" s="43">
        <v>0.17</v>
      </c>
      <c r="S52" s="79">
        <v>6.9662603423815357</v>
      </c>
      <c r="T52" s="29">
        <f t="shared" si="7"/>
        <v>8.7382670560050098E-5</v>
      </c>
      <c r="U52" s="29">
        <f t="shared" si="8"/>
        <v>1.1452667298767403</v>
      </c>
      <c r="V52" s="29"/>
      <c r="W52" s="29">
        <f t="shared" si="1"/>
        <v>0.39868339847767947</v>
      </c>
      <c r="X52" s="29"/>
      <c r="Y52" s="29"/>
      <c r="Z52" s="29"/>
      <c r="AA52" s="31"/>
      <c r="AB52" s="31"/>
      <c r="AC52" s="31"/>
      <c r="AD52" s="28">
        <f t="shared" si="14"/>
        <v>5.7263751763046544</v>
      </c>
      <c r="AE52" s="28">
        <f t="shared" si="15"/>
        <v>0.1967602232031315</v>
      </c>
      <c r="AF52" s="28">
        <f t="shared" si="18"/>
        <v>0.13644281014128123</v>
      </c>
      <c r="AG52" s="28"/>
      <c r="AH52" s="28"/>
    </row>
    <row r="53" spans="1:34" ht="18.75" customHeight="1" thickTop="1" x14ac:dyDescent="0.55000000000000004">
      <c r="A53" s="30"/>
      <c r="B53" s="30"/>
      <c r="C53" s="30"/>
      <c r="D53" s="29"/>
      <c r="E53" s="29"/>
      <c r="F53" s="29"/>
      <c r="G53" s="29"/>
      <c r="H53" s="29"/>
      <c r="I53" s="29"/>
      <c r="J53" s="29"/>
      <c r="K53" s="29"/>
      <c r="L53" s="29"/>
      <c r="M53" s="28"/>
      <c r="N53" s="28"/>
      <c r="O53" s="28"/>
      <c r="P53" s="28"/>
      <c r="S53" s="77"/>
      <c r="T53" s="29"/>
      <c r="U53" s="29"/>
      <c r="V53" s="29"/>
      <c r="W53" s="29"/>
      <c r="X53" s="29"/>
      <c r="Y53" s="29"/>
      <c r="Z53" s="29"/>
      <c r="AA53" s="31"/>
      <c r="AB53" s="31"/>
      <c r="AC53" s="31"/>
      <c r="AD53" s="28"/>
      <c r="AE53" s="28"/>
      <c r="AF53" s="28">
        <f t="shared" si="18"/>
        <v>0</v>
      </c>
      <c r="AG53" s="28"/>
      <c r="AH53" s="28"/>
    </row>
    <row r="54" spans="1:34" ht="17.25" customHeight="1" x14ac:dyDescent="0.55000000000000004"/>
    <row r="55" spans="1:34" ht="17.25" customHeight="1" x14ac:dyDescent="0.55000000000000004">
      <c r="T55" s="57" t="s">
        <v>228</v>
      </c>
      <c r="U55" s="57">
        <f>MEDIAN(U4:U52)</f>
        <v>1.4172363890413693</v>
      </c>
      <c r="V55" s="57">
        <f>MEDIAN(V4:V52)</f>
        <v>4.6038160519719679E-2</v>
      </c>
      <c r="W55" s="57">
        <f>MEDIAN(W4:W52)</f>
        <v>0.36659123637111707</v>
      </c>
      <c r="Z55" s="57">
        <f>MEDIAN(Z4:Z52)</f>
        <v>5.16434603971696E-3</v>
      </c>
      <c r="AD55" s="57">
        <f>MEDIAN(AD4:AD52)</f>
        <v>5.9802538787023982</v>
      </c>
      <c r="AE55" s="57">
        <f>MEDIAN(AE4:AE52)</f>
        <v>0.13533771966352962</v>
      </c>
    </row>
    <row r="56" spans="1:34" x14ac:dyDescent="0.55000000000000004">
      <c r="T56" s="57" t="s">
        <v>232</v>
      </c>
      <c r="U56" s="57">
        <f>_xlfn.STDEV.S(U4:U52)</f>
        <v>0.19800005905716025</v>
      </c>
      <c r="V56" s="57">
        <f>_xlfn.STDEV.S(V4:V52)</f>
        <v>8.8571997925664878E-3</v>
      </c>
      <c r="W56" s="57">
        <f>_xlfn.STDEV.S(W4:W52)</f>
        <v>4.4712287761450496E-2</v>
      </c>
      <c r="Z56" s="57">
        <f>_xlfn.STDEV.S(Z4:Z52)</f>
        <v>5.4633820369732512E-4</v>
      </c>
      <c r="AD56" s="57">
        <f>_xlfn.STDEV.S(AD4:AD52)</f>
        <v>0.86402177381894296</v>
      </c>
      <c r="AE56" s="57">
        <f>_xlfn.STDEV.S(AE4:AE52)</f>
        <v>2.304619714131001E-2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C4" sqref="C4"/>
    </sheetView>
  </sheetViews>
  <sheetFormatPr defaultRowHeight="14.4" x14ac:dyDescent="0.55000000000000004"/>
  <cols>
    <col min="2" max="2" width="11.15625" customWidth="1"/>
    <col min="4" max="4" width="14" customWidth="1"/>
    <col min="8" max="8" width="13.83984375" customWidth="1"/>
    <col min="9" max="9" width="13.41796875" customWidth="1"/>
  </cols>
  <sheetData>
    <row r="1" spans="1:10" x14ac:dyDescent="0.55000000000000004">
      <c r="A1" t="s">
        <v>53</v>
      </c>
      <c r="B1" t="s">
        <v>50</v>
      </c>
      <c r="G1" s="30" t="s">
        <v>54</v>
      </c>
      <c r="H1" s="30" t="s">
        <v>51</v>
      </c>
      <c r="I1" s="30"/>
      <c r="J1" s="30"/>
    </row>
    <row r="2" spans="1:10" x14ac:dyDescent="0.55000000000000004">
      <c r="B2" t="s">
        <v>45</v>
      </c>
      <c r="D2" t="s">
        <v>48</v>
      </c>
      <c r="G2" s="30"/>
      <c r="H2" s="30" t="s">
        <v>48</v>
      </c>
      <c r="I2" s="30"/>
      <c r="J2" s="30"/>
    </row>
    <row r="3" spans="1:10" ht="14.7" thickBot="1" x14ac:dyDescent="0.6">
      <c r="B3" t="s">
        <v>46</v>
      </c>
      <c r="C3" t="s">
        <v>47</v>
      </c>
      <c r="D3" t="s">
        <v>49</v>
      </c>
      <c r="E3" t="s">
        <v>47</v>
      </c>
      <c r="G3" s="30"/>
      <c r="H3" s="30" t="s">
        <v>46</v>
      </c>
      <c r="I3" s="30" t="s">
        <v>47</v>
      </c>
      <c r="J3" s="30" t="s">
        <v>52</v>
      </c>
    </row>
    <row r="4" spans="1:10" ht="15.9" thickTop="1" x14ac:dyDescent="0.6">
      <c r="B4" s="1">
        <v>38583</v>
      </c>
      <c r="C4" s="14">
        <v>-3.2930367</v>
      </c>
      <c r="D4" s="1">
        <v>38596</v>
      </c>
      <c r="E4" s="14">
        <v>-2.9935679300000002</v>
      </c>
      <c r="G4" s="30"/>
      <c r="H4" s="37">
        <v>39176</v>
      </c>
      <c r="I4" s="27">
        <v>-1.93</v>
      </c>
      <c r="J4" s="15">
        <v>1.4462364547253419</v>
      </c>
    </row>
    <row r="5" spans="1:10" ht="15.6" x14ac:dyDescent="0.6">
      <c r="B5" s="1">
        <v>38596</v>
      </c>
      <c r="C5" s="14">
        <v>-3.4078019999999998</v>
      </c>
      <c r="D5" s="1">
        <v>38628</v>
      </c>
      <c r="E5" s="18">
        <v>-3.1720999999999999</v>
      </c>
      <c r="G5" s="30"/>
      <c r="H5" s="37">
        <v>39624</v>
      </c>
      <c r="I5" s="27">
        <v>-1.1200000000000001</v>
      </c>
      <c r="J5" s="16">
        <v>8.3506793802668344</v>
      </c>
    </row>
    <row r="6" spans="1:10" ht="15.6" x14ac:dyDescent="0.6">
      <c r="B6" s="1">
        <v>38628</v>
      </c>
      <c r="C6" s="18">
        <v>-3.2196420399999996</v>
      </c>
      <c r="D6" s="1">
        <v>38658</v>
      </c>
      <c r="E6" s="18">
        <v>-2.8016476799999999</v>
      </c>
      <c r="G6" s="30"/>
      <c r="H6" s="37">
        <v>39672</v>
      </c>
      <c r="I6" s="27">
        <v>-0.55000000000000004</v>
      </c>
      <c r="J6" s="17">
        <v>12.812868217621064</v>
      </c>
    </row>
    <row r="7" spans="1:10" ht="15.6" x14ac:dyDescent="0.6">
      <c r="B7" s="1">
        <v>38658</v>
      </c>
      <c r="C7" s="18">
        <v>-3.6426772399999998</v>
      </c>
      <c r="D7" s="1">
        <v>38688</v>
      </c>
      <c r="E7" s="14">
        <v>-2.8267241300000001</v>
      </c>
      <c r="G7" s="30"/>
      <c r="H7" s="37">
        <v>39693</v>
      </c>
      <c r="I7" s="27">
        <v>-0.76</v>
      </c>
      <c r="J7" s="16">
        <v>11.223790214194489</v>
      </c>
    </row>
    <row r="8" spans="1:10" ht="15.6" x14ac:dyDescent="0.6">
      <c r="B8" s="1">
        <v>38688</v>
      </c>
      <c r="C8" s="14">
        <v>-3.7550060300000005</v>
      </c>
      <c r="D8" s="1">
        <v>38721</v>
      </c>
      <c r="E8" s="14"/>
      <c r="G8" s="30"/>
      <c r="H8" s="37">
        <v>39751</v>
      </c>
      <c r="I8" s="27">
        <v>-1.0900000000000001</v>
      </c>
      <c r="J8" s="17">
        <v>6.0490290094871568</v>
      </c>
    </row>
    <row r="9" spans="1:10" ht="15.6" x14ac:dyDescent="0.6">
      <c r="B9" s="1">
        <v>38721</v>
      </c>
      <c r="C9" s="14">
        <v>-3.5648042000000002</v>
      </c>
      <c r="D9" s="1">
        <v>38749</v>
      </c>
      <c r="E9" s="14"/>
      <c r="G9" s="30"/>
      <c r="H9" s="37">
        <v>39784</v>
      </c>
      <c r="I9" s="27">
        <v>-1.42</v>
      </c>
      <c r="J9" s="16">
        <v>4.4198231423105865</v>
      </c>
    </row>
    <row r="10" spans="1:10" ht="15.6" x14ac:dyDescent="0.6">
      <c r="B10" s="1">
        <v>38749</v>
      </c>
      <c r="C10" s="14">
        <v>-3.4675460720000002</v>
      </c>
      <c r="D10" s="1">
        <v>38776</v>
      </c>
      <c r="E10" s="14">
        <v>-3.0842996299999998</v>
      </c>
      <c r="G10" s="30"/>
      <c r="H10" s="37">
        <v>39812</v>
      </c>
      <c r="I10" s="27">
        <v>-1.6</v>
      </c>
      <c r="J10" s="17">
        <v>3.0555020608693155</v>
      </c>
    </row>
    <row r="11" spans="1:10" ht="15.6" x14ac:dyDescent="0.6">
      <c r="B11" s="1">
        <v>38776</v>
      </c>
      <c r="C11" s="14">
        <v>-3.4735921699999999</v>
      </c>
      <c r="D11" s="1">
        <v>38811</v>
      </c>
      <c r="E11" s="14">
        <v>-2.9967239600000002</v>
      </c>
      <c r="G11" s="30"/>
      <c r="H11" s="37">
        <v>39877</v>
      </c>
      <c r="I11" s="27">
        <v>-1.07</v>
      </c>
      <c r="J11" s="16">
        <v>2.1738817534971893</v>
      </c>
    </row>
    <row r="12" spans="1:10" ht="15.6" x14ac:dyDescent="0.6">
      <c r="B12" s="1">
        <v>38811</v>
      </c>
      <c r="C12" s="14">
        <v>-3.4578346099999999</v>
      </c>
      <c r="D12" s="1">
        <v>38840</v>
      </c>
      <c r="E12" s="14">
        <v>-2.4338962400000002</v>
      </c>
      <c r="G12" s="30"/>
      <c r="H12" s="37">
        <v>39946</v>
      </c>
      <c r="I12" s="27">
        <v>-1.84</v>
      </c>
      <c r="J12" s="17">
        <v>1.9691085040285354</v>
      </c>
    </row>
    <row r="13" spans="1:10" ht="15.6" x14ac:dyDescent="0.6">
      <c r="B13" s="1">
        <v>38840</v>
      </c>
      <c r="C13" s="14">
        <v>-3.5560163300000003</v>
      </c>
      <c r="D13" s="1">
        <v>38868</v>
      </c>
      <c r="E13" s="14">
        <v>-2.1483045519999999</v>
      </c>
      <c r="G13" s="30"/>
      <c r="H13" s="37">
        <v>40065</v>
      </c>
      <c r="I13" s="27">
        <v>-0.75</v>
      </c>
      <c r="J13" s="16">
        <v>11.093645111821095</v>
      </c>
    </row>
    <row r="14" spans="1:10" ht="15.6" x14ac:dyDescent="0.6">
      <c r="B14" s="1">
        <v>38868</v>
      </c>
      <c r="C14" s="14">
        <v>-3.2040898160000002</v>
      </c>
      <c r="D14" s="1">
        <v>38903</v>
      </c>
      <c r="E14" s="14">
        <v>-1.6058081320000002</v>
      </c>
      <c r="G14" s="30"/>
      <c r="H14" s="37">
        <v>40126</v>
      </c>
      <c r="I14" s="27">
        <v>-0.48</v>
      </c>
      <c r="J14" s="17">
        <v>11.325220343826055</v>
      </c>
    </row>
    <row r="15" spans="1:10" ht="15.6" x14ac:dyDescent="0.6">
      <c r="B15" s="1">
        <v>38903</v>
      </c>
      <c r="C15" s="14">
        <v>-2.9245595919999996</v>
      </c>
      <c r="D15" s="1">
        <v>38931</v>
      </c>
      <c r="E15" s="14">
        <v>-1.5886560320000001</v>
      </c>
      <c r="G15" s="30"/>
      <c r="H15" s="37">
        <v>40330</v>
      </c>
      <c r="I15" s="27">
        <v>-1.2</v>
      </c>
      <c r="J15" s="16">
        <v>6.8849145262299345</v>
      </c>
    </row>
    <row r="16" spans="1:10" ht="15.6" x14ac:dyDescent="0.6">
      <c r="B16" s="1">
        <v>38931</v>
      </c>
      <c r="C16" s="14">
        <v>-2.9896395600000001</v>
      </c>
      <c r="D16" s="1">
        <v>38965</v>
      </c>
      <c r="E16" s="14">
        <v>-1.950516336</v>
      </c>
      <c r="G16" s="30"/>
      <c r="H16" s="54">
        <v>40457</v>
      </c>
      <c r="I16" s="85">
        <v>0.79</v>
      </c>
      <c r="J16" s="17">
        <v>19.173868257820985</v>
      </c>
    </row>
    <row r="17" spans="2:10" ht="15.6" x14ac:dyDescent="0.6">
      <c r="B17" s="1">
        <v>38965</v>
      </c>
      <c r="C17" s="14">
        <v>-3.1152909439999998</v>
      </c>
      <c r="D17" s="1">
        <v>38993</v>
      </c>
      <c r="E17" s="14">
        <v>-1.86397174</v>
      </c>
      <c r="G17" s="30"/>
      <c r="H17" s="54">
        <v>40560</v>
      </c>
      <c r="I17" s="85">
        <v>-0.61</v>
      </c>
      <c r="J17" s="16">
        <v>10.454508101731014</v>
      </c>
    </row>
    <row r="18" spans="2:10" ht="15.6" x14ac:dyDescent="0.6">
      <c r="B18" s="1">
        <v>38993</v>
      </c>
      <c r="C18" s="14">
        <v>-4.2709504360000006</v>
      </c>
      <c r="D18" s="1">
        <v>39021</v>
      </c>
      <c r="E18" s="18">
        <v>-1.3617184899999999</v>
      </c>
      <c r="G18" s="30"/>
      <c r="H18" s="54">
        <v>40604</v>
      </c>
      <c r="I18" s="27">
        <v>-1.1200000000000001</v>
      </c>
      <c r="J18" s="17">
        <v>6.9662603423815357</v>
      </c>
    </row>
    <row r="19" spans="2:10" ht="15.6" x14ac:dyDescent="0.6">
      <c r="B19" s="1">
        <v>39021</v>
      </c>
      <c r="C19" s="14">
        <v>-2.9568055400000004</v>
      </c>
      <c r="D19" s="1">
        <v>39051</v>
      </c>
      <c r="E19" s="14">
        <v>-1.479186978</v>
      </c>
    </row>
    <row r="20" spans="2:10" ht="15.6" x14ac:dyDescent="0.6">
      <c r="B20" s="1">
        <v>39051</v>
      </c>
      <c r="C20" s="14">
        <v>-2.8530329879999998</v>
      </c>
      <c r="D20" s="1">
        <v>39085</v>
      </c>
      <c r="E20" s="14">
        <v>-1.689269694</v>
      </c>
    </row>
    <row r="21" spans="2:10" ht="15.6" x14ac:dyDescent="0.6">
      <c r="B21" s="1">
        <v>39085</v>
      </c>
      <c r="C21" s="14">
        <v>-2.906048212</v>
      </c>
      <c r="D21" s="1">
        <v>39119</v>
      </c>
      <c r="E21" s="14"/>
    </row>
    <row r="22" spans="2:10" ht="15.6" x14ac:dyDescent="0.6">
      <c r="B22" s="1">
        <v>39119</v>
      </c>
      <c r="C22" s="14"/>
      <c r="D22" s="1">
        <v>39143</v>
      </c>
      <c r="E22" s="14">
        <v>-2.0893565990000003</v>
      </c>
    </row>
    <row r="23" spans="2:10" ht="15.6" x14ac:dyDescent="0.6">
      <c r="B23" s="1">
        <v>39143</v>
      </c>
      <c r="C23" s="14">
        <v>-2.530292921</v>
      </c>
      <c r="D23" s="1">
        <v>39204</v>
      </c>
      <c r="E23" s="14">
        <v>-1.65879756</v>
      </c>
    </row>
    <row r="24" spans="2:10" ht="15.6" x14ac:dyDescent="0.6">
      <c r="B24" s="1">
        <v>39176</v>
      </c>
      <c r="C24" s="14"/>
      <c r="D24" s="1">
        <v>39234</v>
      </c>
      <c r="E24" s="14">
        <v>-1.4319215999999999</v>
      </c>
    </row>
    <row r="25" spans="2:10" ht="15.6" x14ac:dyDescent="0.6">
      <c r="B25" s="1">
        <v>39204</v>
      </c>
      <c r="C25" s="14">
        <v>-1.68860112</v>
      </c>
      <c r="D25" s="1">
        <v>39265</v>
      </c>
      <c r="E25" s="14"/>
    </row>
    <row r="26" spans="2:10" ht="15.6" x14ac:dyDescent="0.6">
      <c r="B26" s="1">
        <v>39234</v>
      </c>
      <c r="C26" s="14">
        <v>-1.0969956000000001</v>
      </c>
      <c r="D26" s="1">
        <v>39300</v>
      </c>
      <c r="E26" s="14">
        <v>-0.75274992000000018</v>
      </c>
    </row>
    <row r="27" spans="2:10" ht="15.6" x14ac:dyDescent="0.6">
      <c r="B27" s="1">
        <v>39265</v>
      </c>
      <c r="C27" s="14">
        <v>-0.10639127999999998</v>
      </c>
      <c r="D27" s="1">
        <v>39358</v>
      </c>
      <c r="E27" s="14"/>
    </row>
    <row r="28" spans="2:10" ht="15.6" x14ac:dyDescent="0.6">
      <c r="B28" s="1">
        <v>39300</v>
      </c>
      <c r="C28" s="14">
        <v>1.03041552</v>
      </c>
      <c r="D28" s="1">
        <v>39388</v>
      </c>
      <c r="E28" s="14">
        <v>-0.61138495999999987</v>
      </c>
    </row>
    <row r="29" spans="2:10" ht="15.6" x14ac:dyDescent="0.6">
      <c r="D29" s="1">
        <v>39419</v>
      </c>
      <c r="E29" s="14">
        <v>-0.98226343999999988</v>
      </c>
    </row>
    <row r="30" spans="2:10" ht="15.6" x14ac:dyDescent="0.6">
      <c r="B30" t="s">
        <v>223</v>
      </c>
      <c r="C30">
        <f>MEDIAN(C4:C28)</f>
        <v>-3.2040898160000002</v>
      </c>
      <c r="D30" s="1">
        <v>39455</v>
      </c>
      <c r="E30" s="14">
        <v>-1.0402035199999999</v>
      </c>
    </row>
    <row r="31" spans="2:10" ht="15.6" x14ac:dyDescent="0.6">
      <c r="C31">
        <f>_xlfn.STDEV.S(C4:C28)</f>
        <v>1.234936836103913</v>
      </c>
      <c r="D31" s="1">
        <v>39485</v>
      </c>
      <c r="E31" s="14">
        <v>-1.4497087199999998</v>
      </c>
    </row>
    <row r="32" spans="2:10" ht="15.6" x14ac:dyDescent="0.6">
      <c r="D32" s="1">
        <v>39512</v>
      </c>
      <c r="E32" s="14">
        <v>-2.1812409600000002</v>
      </c>
    </row>
    <row r="33" spans="4:5" ht="15.6" x14ac:dyDescent="0.6">
      <c r="D33" s="1">
        <v>39541</v>
      </c>
      <c r="E33" s="14">
        <v>-2.0224996000000002</v>
      </c>
    </row>
    <row r="34" spans="4:5" ht="15.6" x14ac:dyDescent="0.6">
      <c r="D34" s="1">
        <v>39598</v>
      </c>
      <c r="E34" s="14">
        <v>-1.1988416</v>
      </c>
    </row>
    <row r="36" spans="4:5" x14ac:dyDescent="0.55000000000000004">
      <c r="D36" t="s">
        <v>223</v>
      </c>
      <c r="E36">
        <f>MEDIAN(E4:E34,I4:I18)</f>
        <v>-1.479186978</v>
      </c>
    </row>
    <row r="37" spans="4:5" x14ac:dyDescent="0.55000000000000004">
      <c r="E37">
        <f>_xlfn.STDEV.S(E4:E34,I4:I18)</f>
        <v>0.83566282716456319</v>
      </c>
    </row>
  </sheetData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0"/>
  <sheetViews>
    <sheetView zoomScale="70" zoomScaleNormal="70" workbookViewId="0">
      <selection activeCell="D22" sqref="D22"/>
    </sheetView>
  </sheetViews>
  <sheetFormatPr defaultRowHeight="14.4" x14ac:dyDescent="0.55000000000000004"/>
  <cols>
    <col min="1" max="1" width="22" customWidth="1"/>
    <col min="3" max="3" width="18.41796875" customWidth="1"/>
    <col min="4" max="4" width="17.41796875" customWidth="1"/>
    <col min="5" max="5" width="21.41796875" customWidth="1"/>
    <col min="6" max="6" width="26.578125" customWidth="1"/>
    <col min="7" max="7" width="23.15625" customWidth="1"/>
  </cols>
  <sheetData>
    <row r="1" spans="1:7" x14ac:dyDescent="0.55000000000000004">
      <c r="A1" t="s">
        <v>45</v>
      </c>
      <c r="E1" s="81"/>
      <c r="F1" s="81"/>
    </row>
    <row r="2" spans="1:7" x14ac:dyDescent="0.55000000000000004">
      <c r="A2" t="s">
        <v>46</v>
      </c>
      <c r="B2" t="s">
        <v>193</v>
      </c>
      <c r="C2" t="s">
        <v>194</v>
      </c>
      <c r="D2" t="s">
        <v>195</v>
      </c>
      <c r="E2" s="81" t="s">
        <v>196</v>
      </c>
      <c r="F2" s="81" t="s">
        <v>197</v>
      </c>
      <c r="G2" t="s">
        <v>198</v>
      </c>
    </row>
    <row r="3" spans="1:7" x14ac:dyDescent="0.55000000000000004">
      <c r="A3" s="1">
        <v>38583</v>
      </c>
      <c r="B3" s="21"/>
      <c r="C3" s="12"/>
      <c r="D3" s="12"/>
      <c r="E3" s="81"/>
      <c r="F3" s="81"/>
    </row>
    <row r="4" spans="1:7" x14ac:dyDescent="0.55000000000000004">
      <c r="A4" s="1">
        <v>38596</v>
      </c>
      <c r="B4" s="21">
        <v>0.5</v>
      </c>
      <c r="C4" s="12">
        <v>12.38</v>
      </c>
      <c r="D4" s="12">
        <f>12*60+38</f>
        <v>758</v>
      </c>
      <c r="E4" s="81">
        <f>(((A4-A3)/7)*24*60*60)/D4</f>
        <v>211.68488503580849</v>
      </c>
      <c r="F4" s="81">
        <f>E4*0.23</f>
        <v>48.687523558235952</v>
      </c>
      <c r="G4">
        <f>B4*52.841+45.666</f>
        <v>72.086500000000001</v>
      </c>
    </row>
    <row r="5" spans="1:7" x14ac:dyDescent="0.55000000000000004">
      <c r="A5" s="1">
        <v>38628</v>
      </c>
      <c r="B5" s="21">
        <v>1</v>
      </c>
      <c r="C5" s="12">
        <v>12.52</v>
      </c>
      <c r="D5" s="12">
        <f>12*60+52</f>
        <v>772</v>
      </c>
      <c r="E5" s="81">
        <f t="shared" ref="E5:E19" si="0">(((A5-A4)/7)*24*60*60)/D5</f>
        <v>511.62102146558101</v>
      </c>
      <c r="F5" s="81">
        <f t="shared" ref="F5:F19" si="1">E5*0.23</f>
        <v>117.67283493708364</v>
      </c>
      <c r="G5">
        <f t="shared" ref="G5:G24" si="2">B5*52.841+45.666</f>
        <v>98.507000000000005</v>
      </c>
    </row>
    <row r="6" spans="1:7" x14ac:dyDescent="0.55000000000000004">
      <c r="A6" s="1">
        <v>38658</v>
      </c>
      <c r="B6" s="21">
        <v>1</v>
      </c>
      <c r="C6" s="12">
        <v>13.18</v>
      </c>
      <c r="D6" s="12">
        <f>13*60+18</f>
        <v>798</v>
      </c>
      <c r="E6" s="81">
        <f t="shared" si="0"/>
        <v>464.01718582169713</v>
      </c>
      <c r="F6" s="81">
        <f t="shared" si="1"/>
        <v>106.72395273899035</v>
      </c>
      <c r="G6">
        <f>B6*52.841+45.666</f>
        <v>98.507000000000005</v>
      </c>
    </row>
    <row r="7" spans="1:7" x14ac:dyDescent="0.55000000000000004">
      <c r="A7" s="1">
        <v>38688</v>
      </c>
      <c r="B7" s="21">
        <v>1</v>
      </c>
      <c r="C7" s="12">
        <v>17.28</v>
      </c>
      <c r="D7" s="12">
        <f>17*60+28</f>
        <v>1048</v>
      </c>
      <c r="E7" s="81">
        <f t="shared" si="0"/>
        <v>353.32606324972738</v>
      </c>
      <c r="F7" s="81">
        <f t="shared" si="1"/>
        <v>81.264994547437297</v>
      </c>
      <c r="G7">
        <f t="shared" si="2"/>
        <v>98.507000000000005</v>
      </c>
    </row>
    <row r="8" spans="1:7" x14ac:dyDescent="0.55000000000000004">
      <c r="A8" s="1">
        <v>38721</v>
      </c>
      <c r="B8" s="21">
        <v>1</v>
      </c>
      <c r="C8" s="12">
        <v>18.100000000000001</v>
      </c>
      <c r="D8" s="12">
        <f>18*60+1</f>
        <v>1081</v>
      </c>
      <c r="E8" s="81">
        <f t="shared" si="0"/>
        <v>376.79397383375181</v>
      </c>
      <c r="F8" s="81">
        <f t="shared" si="1"/>
        <v>86.662613981762917</v>
      </c>
      <c r="G8">
        <f t="shared" si="2"/>
        <v>98.507000000000005</v>
      </c>
    </row>
    <row r="9" spans="1:7" x14ac:dyDescent="0.55000000000000004">
      <c r="A9" s="1">
        <v>38749</v>
      </c>
      <c r="B9" s="21">
        <v>0.8</v>
      </c>
      <c r="C9" s="12">
        <v>12.36</v>
      </c>
      <c r="D9" s="12">
        <f>12*60+36</f>
        <v>756</v>
      </c>
      <c r="E9" s="81">
        <f>(((A9-A8)/7)*24*60*60)/D9</f>
        <v>457.14285714285717</v>
      </c>
      <c r="F9" s="81">
        <f t="shared" si="1"/>
        <v>105.14285714285715</v>
      </c>
      <c r="G9">
        <f t="shared" si="2"/>
        <v>87.938800000000001</v>
      </c>
    </row>
    <row r="10" spans="1:7" x14ac:dyDescent="0.55000000000000004">
      <c r="A10" s="1">
        <v>38776</v>
      </c>
      <c r="B10" s="21">
        <v>0.75</v>
      </c>
      <c r="C10" s="12">
        <v>16.309999999999999</v>
      </c>
      <c r="D10" s="12">
        <f>16*60+31</f>
        <v>991</v>
      </c>
      <c r="E10" s="81">
        <f t="shared" si="0"/>
        <v>336.28369612224304</v>
      </c>
      <c r="F10" s="81">
        <f t="shared" si="1"/>
        <v>77.345250108115906</v>
      </c>
      <c r="G10">
        <f t="shared" si="2"/>
        <v>85.296750000000003</v>
      </c>
    </row>
    <row r="11" spans="1:7" x14ac:dyDescent="0.55000000000000004">
      <c r="A11" s="1">
        <v>38811</v>
      </c>
      <c r="B11" s="21">
        <v>0.5</v>
      </c>
      <c r="C11" s="12">
        <v>17.2</v>
      </c>
      <c r="D11" s="12">
        <f>17*60+2</f>
        <v>1022</v>
      </c>
      <c r="E11" s="81">
        <f t="shared" si="0"/>
        <v>422.70058708414871</v>
      </c>
      <c r="F11" s="81">
        <f t="shared" si="1"/>
        <v>97.221135029354201</v>
      </c>
      <c r="G11">
        <f t="shared" si="2"/>
        <v>72.086500000000001</v>
      </c>
    </row>
    <row r="12" spans="1:7" x14ac:dyDescent="0.55000000000000004">
      <c r="A12" s="1">
        <v>38840</v>
      </c>
      <c r="B12" s="21">
        <v>0.75</v>
      </c>
      <c r="C12" s="12">
        <v>18.3</v>
      </c>
      <c r="D12" s="12">
        <f>18*60+3</f>
        <v>1083</v>
      </c>
      <c r="E12" s="81">
        <f t="shared" si="0"/>
        <v>330.51048674317371</v>
      </c>
      <c r="F12" s="81">
        <f t="shared" si="1"/>
        <v>76.017411950929954</v>
      </c>
      <c r="G12">
        <f t="shared" si="2"/>
        <v>85.296750000000003</v>
      </c>
    </row>
    <row r="13" spans="1:7" x14ac:dyDescent="0.55000000000000004">
      <c r="A13" s="1">
        <v>38903</v>
      </c>
      <c r="B13" s="23"/>
      <c r="C13" s="12">
        <v>6.22</v>
      </c>
      <c r="D13" s="12">
        <f>6*60+22</f>
        <v>382</v>
      </c>
      <c r="E13" s="81">
        <f t="shared" si="0"/>
        <v>2035.6020942408377</v>
      </c>
      <c r="F13" s="81">
        <f t="shared" si="1"/>
        <v>468.18848167539267</v>
      </c>
    </row>
    <row r="14" spans="1:7" x14ac:dyDescent="0.55000000000000004">
      <c r="A14" s="1">
        <v>38931</v>
      </c>
      <c r="B14" s="22"/>
      <c r="C14" s="82">
        <v>8.41</v>
      </c>
      <c r="D14" s="12">
        <f>8*60+41</f>
        <v>521</v>
      </c>
      <c r="E14" s="81">
        <f t="shared" si="0"/>
        <v>663.33973128598848</v>
      </c>
      <c r="F14" s="81">
        <f t="shared" si="1"/>
        <v>152.56813819577735</v>
      </c>
    </row>
    <row r="15" spans="1:7" ht="15.3" x14ac:dyDescent="0.55000000000000004">
      <c r="A15" s="1">
        <v>38965</v>
      </c>
      <c r="B15" s="24"/>
      <c r="C15" s="12">
        <v>8.42</v>
      </c>
      <c r="D15" s="12">
        <f>8*60+42</f>
        <v>522</v>
      </c>
      <c r="E15" s="81">
        <f t="shared" si="0"/>
        <v>803.94088669950736</v>
      </c>
      <c r="F15" s="81">
        <f t="shared" si="1"/>
        <v>184.90640394088669</v>
      </c>
    </row>
    <row r="16" spans="1:7" x14ac:dyDescent="0.55000000000000004">
      <c r="A16" s="1">
        <v>38993</v>
      </c>
      <c r="B16" s="3"/>
      <c r="C16" s="12">
        <v>9.2200000000000006</v>
      </c>
      <c r="D16" s="12">
        <f>9*60+22</f>
        <v>562</v>
      </c>
      <c r="E16" s="81">
        <f t="shared" si="0"/>
        <v>614.94661921708189</v>
      </c>
      <c r="F16" s="81">
        <f t="shared" si="1"/>
        <v>141.43772241992883</v>
      </c>
    </row>
    <row r="17" spans="1:12" ht="15.3" x14ac:dyDescent="0.55000000000000004">
      <c r="A17" s="1">
        <v>39021</v>
      </c>
      <c r="B17" s="24"/>
      <c r="C17" s="12">
        <v>10.039999999999999</v>
      </c>
      <c r="D17" s="12">
        <f>10*60+4</f>
        <v>604</v>
      </c>
      <c r="E17" s="81">
        <f t="shared" si="0"/>
        <v>572.18543046357615</v>
      </c>
      <c r="F17" s="81">
        <f t="shared" si="1"/>
        <v>131.60264900662253</v>
      </c>
    </row>
    <row r="18" spans="1:12" x14ac:dyDescent="0.55000000000000004">
      <c r="A18" s="1">
        <v>39051</v>
      </c>
      <c r="B18" s="23"/>
      <c r="C18" s="12">
        <v>10.039999999999999</v>
      </c>
      <c r="D18" s="12">
        <f>10*60+4</f>
        <v>604</v>
      </c>
      <c r="E18" s="81">
        <f t="shared" si="0"/>
        <v>613.05581835383168</v>
      </c>
      <c r="F18" s="81">
        <f t="shared" si="1"/>
        <v>141.0028382213813</v>
      </c>
    </row>
    <row r="19" spans="1:12" x14ac:dyDescent="0.55000000000000004">
      <c r="A19" s="1">
        <v>39085</v>
      </c>
      <c r="B19" s="23"/>
      <c r="C19" s="12">
        <v>10.199999999999999</v>
      </c>
      <c r="D19" s="12">
        <f>10*60+2</f>
        <v>602</v>
      </c>
      <c r="E19" s="81">
        <f t="shared" si="0"/>
        <v>697.10488846701469</v>
      </c>
      <c r="F19" s="81">
        <f t="shared" si="1"/>
        <v>160.33412434741339</v>
      </c>
    </row>
    <row r="20" spans="1:12" x14ac:dyDescent="0.55000000000000004">
      <c r="A20" s="1">
        <v>39119</v>
      </c>
      <c r="B20" s="3"/>
      <c r="E20" s="81"/>
      <c r="F20" s="81"/>
    </row>
    <row r="21" spans="1:12" ht="15.3" x14ac:dyDescent="0.55000000000000004">
      <c r="A21" s="1">
        <v>39142</v>
      </c>
      <c r="B21" s="24">
        <v>0.25</v>
      </c>
      <c r="E21" s="81"/>
      <c r="F21" s="81"/>
      <c r="G21">
        <f>B21*52.841+45.666</f>
        <v>58.876249999999999</v>
      </c>
    </row>
    <row r="22" spans="1:12" ht="15.3" x14ac:dyDescent="0.55000000000000004">
      <c r="A22" s="1">
        <v>39173</v>
      </c>
      <c r="B22" s="24">
        <v>0.16666666666666666</v>
      </c>
      <c r="E22" s="81"/>
      <c r="F22" s="81"/>
      <c r="G22">
        <f t="shared" si="2"/>
        <v>54.472833333333327</v>
      </c>
    </row>
    <row r="23" spans="1:12" ht="15.3" x14ac:dyDescent="0.55000000000000004">
      <c r="A23" s="1">
        <v>39204</v>
      </c>
      <c r="B23" s="24">
        <v>0.16666666666666666</v>
      </c>
      <c r="E23" s="81"/>
      <c r="F23" s="81"/>
      <c r="G23">
        <f>B23*52.841+45.666</f>
        <v>54.472833333333327</v>
      </c>
    </row>
    <row r="24" spans="1:12" ht="15.3" x14ac:dyDescent="0.55000000000000004">
      <c r="A24" s="1">
        <v>39234</v>
      </c>
      <c r="B24" s="24">
        <v>0.125</v>
      </c>
      <c r="E24" s="81"/>
      <c r="F24" s="81"/>
      <c r="G24">
        <f t="shared" si="2"/>
        <v>52.271124999999998</v>
      </c>
    </row>
    <row r="27" spans="1:12" x14ac:dyDescent="0.55000000000000004">
      <c r="F27" t="s">
        <v>225</v>
      </c>
      <c r="G27">
        <f>MEDIAN(G4:G12,G21:G24)</f>
        <v>85.296750000000003</v>
      </c>
      <c r="L27">
        <f>40*0.23</f>
        <v>9.2000000000000011</v>
      </c>
    </row>
    <row r="28" spans="1:12" x14ac:dyDescent="0.55000000000000004">
      <c r="F28" t="s">
        <v>224</v>
      </c>
      <c r="G28">
        <f>STDEV(G4:G12,G21:G24)</f>
        <v>18.465024404571643</v>
      </c>
    </row>
    <row r="29" spans="1:12" x14ac:dyDescent="0.55000000000000004">
      <c r="F29" t="s">
        <v>226</v>
      </c>
      <c r="G29">
        <f>G27/7</f>
        <v>12.18525</v>
      </c>
    </row>
    <row r="30" spans="1:12" x14ac:dyDescent="0.55000000000000004">
      <c r="F30" t="s">
        <v>227</v>
      </c>
      <c r="G30">
        <f>G28/7</f>
        <v>2.6378606292245204</v>
      </c>
    </row>
  </sheetData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9"/>
  <sheetViews>
    <sheetView zoomScale="50" zoomScaleNormal="50" workbookViewId="0">
      <selection activeCell="K35" sqref="K35"/>
    </sheetView>
  </sheetViews>
  <sheetFormatPr defaultRowHeight="14.4" x14ac:dyDescent="0.55000000000000004"/>
  <cols>
    <col min="1" max="1" width="11.68359375" customWidth="1"/>
    <col min="2" max="2" width="17.15625" customWidth="1"/>
    <col min="3" max="3" width="23.41796875" customWidth="1"/>
    <col min="4" max="4" width="14.15625" customWidth="1"/>
    <col min="5" max="5" width="20.15625" customWidth="1"/>
    <col min="6" max="6" width="15.83984375" customWidth="1"/>
    <col min="7" max="7" width="28" customWidth="1"/>
    <col min="8" max="8" width="21.578125" customWidth="1"/>
  </cols>
  <sheetData>
    <row r="1" spans="1:12" x14ac:dyDescent="0.55000000000000004">
      <c r="A1" t="s">
        <v>199</v>
      </c>
      <c r="B1" t="s">
        <v>112</v>
      </c>
      <c r="C1" t="s">
        <v>200</v>
      </c>
      <c r="D1" t="s">
        <v>201</v>
      </c>
      <c r="E1" t="s">
        <v>202</v>
      </c>
      <c r="F1" t="s">
        <v>197</v>
      </c>
      <c r="G1" t="s">
        <v>203</v>
      </c>
      <c r="H1" t="s">
        <v>204</v>
      </c>
      <c r="K1" t="s">
        <v>230</v>
      </c>
      <c r="L1" t="s">
        <v>231</v>
      </c>
    </row>
    <row r="2" spans="1:12" ht="15" x14ac:dyDescent="0.55000000000000004">
      <c r="A2" s="1">
        <v>38596</v>
      </c>
      <c r="B2" s="83">
        <v>0.5</v>
      </c>
      <c r="C2" s="13"/>
      <c r="G2">
        <f>158.8*B2-9.005</f>
        <v>70.39500000000001</v>
      </c>
      <c r="H2">
        <v>70</v>
      </c>
      <c r="J2" t="s">
        <v>228</v>
      </c>
      <c r="K2">
        <f>MEDIAN(H2:H49)</f>
        <v>43</v>
      </c>
      <c r="L2">
        <f>K2/7</f>
        <v>6.1428571428571432</v>
      </c>
    </row>
    <row r="3" spans="1:12" x14ac:dyDescent="0.55000000000000004">
      <c r="A3" s="1">
        <v>38628</v>
      </c>
      <c r="B3" s="3">
        <v>0.75</v>
      </c>
      <c r="C3" s="13"/>
      <c r="G3">
        <f t="shared" ref="G3:G49" si="0">158.8*B3-9.005</f>
        <v>110.09500000000001</v>
      </c>
      <c r="H3">
        <v>110</v>
      </c>
      <c r="J3" t="s">
        <v>229</v>
      </c>
      <c r="K3">
        <f>_xlfn.STDEV.S(H2:H49)</f>
        <v>33.298297133788118</v>
      </c>
      <c r="L3">
        <f>K3/7</f>
        <v>4.7568995905411597</v>
      </c>
    </row>
    <row r="4" spans="1:12" x14ac:dyDescent="0.55000000000000004">
      <c r="A4" s="1">
        <v>38658</v>
      </c>
      <c r="B4" s="3">
        <v>0.8</v>
      </c>
      <c r="C4" s="13"/>
      <c r="G4">
        <f t="shared" si="0"/>
        <v>118.03500000000003</v>
      </c>
      <c r="H4">
        <v>118</v>
      </c>
    </row>
    <row r="5" spans="1:12" x14ac:dyDescent="0.55000000000000004">
      <c r="A5" s="1">
        <v>38688</v>
      </c>
      <c r="B5" s="3">
        <v>0.5</v>
      </c>
      <c r="C5" s="13"/>
      <c r="G5">
        <f t="shared" si="0"/>
        <v>70.39500000000001</v>
      </c>
      <c r="H5">
        <v>70</v>
      </c>
    </row>
    <row r="6" spans="1:12" x14ac:dyDescent="0.55000000000000004">
      <c r="A6" s="1">
        <v>38721</v>
      </c>
      <c r="B6" s="3">
        <v>0.75</v>
      </c>
      <c r="C6" s="13"/>
      <c r="G6">
        <f t="shared" si="0"/>
        <v>110.09500000000001</v>
      </c>
      <c r="H6">
        <v>110</v>
      </c>
    </row>
    <row r="7" spans="1:12" x14ac:dyDescent="0.55000000000000004">
      <c r="A7" s="1">
        <v>38749</v>
      </c>
      <c r="B7" s="3">
        <v>0.5</v>
      </c>
      <c r="C7" s="13"/>
      <c r="G7">
        <f t="shared" si="0"/>
        <v>70.39500000000001</v>
      </c>
      <c r="H7">
        <v>70</v>
      </c>
    </row>
    <row r="8" spans="1:12" x14ac:dyDescent="0.55000000000000004">
      <c r="A8" s="1">
        <v>38776</v>
      </c>
      <c r="B8" s="3">
        <v>0.5</v>
      </c>
      <c r="C8" s="13"/>
      <c r="G8">
        <f t="shared" si="0"/>
        <v>70.39500000000001</v>
      </c>
      <c r="H8">
        <v>70</v>
      </c>
    </row>
    <row r="9" spans="1:12" x14ac:dyDescent="0.55000000000000004">
      <c r="A9" s="1">
        <v>38811</v>
      </c>
      <c r="B9" s="3">
        <v>0.8</v>
      </c>
      <c r="C9" s="13"/>
      <c r="G9">
        <f t="shared" si="0"/>
        <v>118.03500000000003</v>
      </c>
      <c r="H9">
        <v>118</v>
      </c>
    </row>
    <row r="10" spans="1:12" x14ac:dyDescent="0.55000000000000004">
      <c r="A10" s="1">
        <v>38840</v>
      </c>
      <c r="B10" s="21">
        <v>0.3</v>
      </c>
      <c r="C10" s="13"/>
      <c r="G10">
        <f t="shared" si="0"/>
        <v>38.634999999999998</v>
      </c>
      <c r="H10">
        <v>38</v>
      </c>
    </row>
    <row r="11" spans="1:12" x14ac:dyDescent="0.55000000000000004">
      <c r="A11" s="1">
        <v>38868</v>
      </c>
      <c r="B11" s="3"/>
      <c r="C11" s="13"/>
    </row>
    <row r="12" spans="1:12" x14ac:dyDescent="0.55000000000000004">
      <c r="A12" s="1">
        <v>38903</v>
      </c>
      <c r="B12" s="3"/>
      <c r="C12" s="13">
        <v>21.35</v>
      </c>
      <c r="D12">
        <f>21*60+35</f>
        <v>1295</v>
      </c>
      <c r="E12">
        <f>(((A12-A11)/7)*24*60*60)/D12</f>
        <v>333.59073359073358</v>
      </c>
      <c r="F12">
        <f>E12*0.15</f>
        <v>50.038610038610038</v>
      </c>
      <c r="H12" s="84">
        <v>50</v>
      </c>
    </row>
    <row r="13" spans="1:12" x14ac:dyDescent="0.55000000000000004">
      <c r="A13" s="1">
        <v>38931</v>
      </c>
      <c r="B13" s="3"/>
      <c r="C13" s="13">
        <v>20.18</v>
      </c>
      <c r="D13">
        <f>20*60+18</f>
        <v>1218</v>
      </c>
      <c r="E13">
        <f t="shared" ref="E13:E20" si="1">(((A13-A12)/7)*24*60*60)/D13</f>
        <v>283.74384236453204</v>
      </c>
      <c r="F13">
        <f t="shared" ref="F13:F20" si="2">E13*0.15</f>
        <v>42.561576354679808</v>
      </c>
      <c r="H13" s="84">
        <v>42</v>
      </c>
    </row>
    <row r="14" spans="1:12" ht="15.3" x14ac:dyDescent="0.55000000000000004">
      <c r="A14" s="1">
        <v>38965</v>
      </c>
      <c r="B14" s="24">
        <v>0.33333333333333331</v>
      </c>
      <c r="C14" s="13">
        <v>24.04</v>
      </c>
      <c r="D14">
        <f>24*60+4</f>
        <v>1444</v>
      </c>
      <c r="E14">
        <f t="shared" si="1"/>
        <v>290.62129006727343</v>
      </c>
      <c r="F14">
        <f t="shared" si="2"/>
        <v>43.593193510091012</v>
      </c>
      <c r="G14">
        <f t="shared" si="0"/>
        <v>43.928333333333335</v>
      </c>
      <c r="H14" s="84">
        <v>43</v>
      </c>
    </row>
    <row r="15" spans="1:12" x14ac:dyDescent="0.55000000000000004">
      <c r="A15" s="1">
        <v>38993</v>
      </c>
      <c r="B15" s="3"/>
      <c r="C15" s="13">
        <v>25.26</v>
      </c>
      <c r="D15">
        <f>25*60+26</f>
        <v>1526</v>
      </c>
      <c r="E15">
        <f t="shared" si="1"/>
        <v>226.47444298820446</v>
      </c>
      <c r="F15">
        <f t="shared" si="2"/>
        <v>33.971166448230669</v>
      </c>
      <c r="H15" s="84">
        <v>33</v>
      </c>
    </row>
    <row r="16" spans="1:12" x14ac:dyDescent="0.55000000000000004">
      <c r="A16" s="1">
        <v>39021</v>
      </c>
      <c r="B16" s="21">
        <v>0.25</v>
      </c>
      <c r="C16" s="13">
        <v>28.02</v>
      </c>
      <c r="D16">
        <f>28*60+2</f>
        <v>1682</v>
      </c>
      <c r="E16">
        <f t="shared" si="1"/>
        <v>205.46967895362664</v>
      </c>
      <c r="F16">
        <f t="shared" si="2"/>
        <v>30.820451843043994</v>
      </c>
      <c r="G16">
        <f t="shared" si="0"/>
        <v>30.695</v>
      </c>
      <c r="H16" s="84">
        <v>31</v>
      </c>
    </row>
    <row r="17" spans="1:8" x14ac:dyDescent="0.55000000000000004">
      <c r="A17" s="1">
        <v>39051</v>
      </c>
      <c r="B17" s="21">
        <v>0.25</v>
      </c>
      <c r="C17" s="13">
        <v>29.25</v>
      </c>
      <c r="D17">
        <f>29*60+25</f>
        <v>1765</v>
      </c>
      <c r="E17">
        <f t="shared" si="1"/>
        <v>209.79360582760017</v>
      </c>
      <c r="F17">
        <f t="shared" si="2"/>
        <v>31.469040874140024</v>
      </c>
      <c r="G17">
        <f t="shared" si="0"/>
        <v>30.695</v>
      </c>
      <c r="H17" s="84">
        <v>31</v>
      </c>
    </row>
    <row r="18" spans="1:8" x14ac:dyDescent="0.55000000000000004">
      <c r="A18" s="1">
        <v>39085</v>
      </c>
      <c r="B18" s="3"/>
      <c r="C18" s="13">
        <v>29.45</v>
      </c>
      <c r="D18">
        <f>29*60+45</f>
        <v>1785</v>
      </c>
      <c r="E18">
        <f t="shared" si="1"/>
        <v>235.10204081632651</v>
      </c>
      <c r="F18">
        <f t="shared" si="2"/>
        <v>35.265306122448976</v>
      </c>
      <c r="H18" s="84">
        <v>35</v>
      </c>
    </row>
    <row r="19" spans="1:8" x14ac:dyDescent="0.55000000000000004">
      <c r="A19" s="1">
        <v>39119</v>
      </c>
      <c r="B19" s="3"/>
      <c r="C19" s="13"/>
    </row>
    <row r="20" spans="1:8" x14ac:dyDescent="0.55000000000000004">
      <c r="A20" s="1">
        <v>39143</v>
      </c>
      <c r="B20" s="21">
        <v>0.2</v>
      </c>
      <c r="C20" s="13">
        <v>33.22</v>
      </c>
      <c r="D20">
        <f>33*60+22</f>
        <v>2002</v>
      </c>
      <c r="E20">
        <f t="shared" si="1"/>
        <v>147.96631939489083</v>
      </c>
      <c r="F20">
        <f t="shared" si="2"/>
        <v>22.194947909233623</v>
      </c>
      <c r="G20">
        <f t="shared" si="0"/>
        <v>22.755000000000003</v>
      </c>
      <c r="H20" s="84">
        <v>22</v>
      </c>
    </row>
    <row r="21" spans="1:8" ht="15.3" x14ac:dyDescent="0.55000000000000004">
      <c r="A21" s="1">
        <v>39176</v>
      </c>
      <c r="B21" s="24">
        <v>0.2</v>
      </c>
      <c r="C21" s="13"/>
      <c r="G21">
        <f t="shared" si="0"/>
        <v>22.755000000000003</v>
      </c>
      <c r="H21">
        <v>22</v>
      </c>
    </row>
    <row r="22" spans="1:8" ht="15.3" x14ac:dyDescent="0.55000000000000004">
      <c r="A22" s="1">
        <v>39204</v>
      </c>
      <c r="B22" s="24">
        <v>0.2</v>
      </c>
      <c r="C22" s="13"/>
      <c r="G22">
        <f t="shared" si="0"/>
        <v>22.755000000000003</v>
      </c>
      <c r="H22">
        <v>22</v>
      </c>
    </row>
    <row r="23" spans="1:8" ht="15.3" x14ac:dyDescent="0.55000000000000004">
      <c r="A23" s="1">
        <v>39234</v>
      </c>
      <c r="B23" s="24">
        <v>0.2</v>
      </c>
      <c r="C23" s="13"/>
      <c r="G23">
        <f t="shared" si="0"/>
        <v>22.755000000000003</v>
      </c>
      <c r="H23">
        <v>22</v>
      </c>
    </row>
    <row r="24" spans="1:8" x14ac:dyDescent="0.55000000000000004">
      <c r="A24" s="1">
        <v>39265</v>
      </c>
      <c r="B24" s="21">
        <v>0.1</v>
      </c>
      <c r="C24" s="13"/>
      <c r="G24">
        <f>158.8*B24-9.005</f>
        <v>6.8750000000000018</v>
      </c>
      <c r="H24">
        <v>7</v>
      </c>
    </row>
    <row r="25" spans="1:8" ht="15.3" x14ac:dyDescent="0.55000000000000004">
      <c r="A25" s="1">
        <v>39300</v>
      </c>
      <c r="B25" s="24">
        <v>0.125</v>
      </c>
      <c r="C25" s="13"/>
      <c r="G25">
        <f t="shared" si="0"/>
        <v>10.845000000000001</v>
      </c>
      <c r="H25">
        <v>11</v>
      </c>
    </row>
    <row r="26" spans="1:8" ht="15.3" x14ac:dyDescent="0.55000000000000004">
      <c r="A26" s="1">
        <v>39358</v>
      </c>
      <c r="B26" s="24">
        <v>0.25</v>
      </c>
      <c r="C26" s="13"/>
      <c r="G26">
        <f t="shared" si="0"/>
        <v>30.695</v>
      </c>
      <c r="H26">
        <v>30</v>
      </c>
    </row>
    <row r="27" spans="1:8" ht="15.3" x14ac:dyDescent="0.55000000000000004">
      <c r="A27" s="1">
        <v>39388</v>
      </c>
      <c r="B27" s="24">
        <v>0.2</v>
      </c>
      <c r="C27" s="13"/>
      <c r="G27">
        <f t="shared" si="0"/>
        <v>22.755000000000003</v>
      </c>
      <c r="H27">
        <v>22</v>
      </c>
    </row>
    <row r="28" spans="1:8" ht="15.3" x14ac:dyDescent="0.55000000000000004">
      <c r="A28" s="1">
        <v>39419</v>
      </c>
      <c r="B28" s="24">
        <v>0.2</v>
      </c>
      <c r="C28" s="13"/>
      <c r="G28">
        <f t="shared" si="0"/>
        <v>22.755000000000003</v>
      </c>
      <c r="H28">
        <v>22</v>
      </c>
    </row>
    <row r="29" spans="1:8" ht="15.3" x14ac:dyDescent="0.55000000000000004">
      <c r="A29" s="1">
        <v>39455</v>
      </c>
      <c r="B29" s="24">
        <v>0.33333333333333331</v>
      </c>
      <c r="C29" s="13"/>
      <c r="G29">
        <f t="shared" si="0"/>
        <v>43.928333333333335</v>
      </c>
      <c r="H29">
        <v>44</v>
      </c>
    </row>
    <row r="30" spans="1:8" ht="15.3" x14ac:dyDescent="0.55000000000000004">
      <c r="A30" s="1">
        <v>39485</v>
      </c>
      <c r="B30" s="24">
        <v>0.33333333333333331</v>
      </c>
      <c r="C30" s="13"/>
      <c r="G30">
        <f t="shared" si="0"/>
        <v>43.928333333333335</v>
      </c>
      <c r="H30">
        <v>44</v>
      </c>
    </row>
    <row r="31" spans="1:8" ht="15.3" x14ac:dyDescent="0.55000000000000004">
      <c r="A31" s="1">
        <v>39512</v>
      </c>
      <c r="B31" s="24">
        <v>0.5</v>
      </c>
      <c r="C31" s="13"/>
      <c r="G31">
        <f t="shared" si="0"/>
        <v>70.39500000000001</v>
      </c>
      <c r="H31">
        <v>70</v>
      </c>
    </row>
    <row r="32" spans="1:8" ht="15.3" x14ac:dyDescent="0.55000000000000004">
      <c r="A32" s="1">
        <v>39541</v>
      </c>
      <c r="B32" s="24">
        <v>0.33</v>
      </c>
      <c r="C32" s="13"/>
      <c r="G32">
        <f t="shared" si="0"/>
        <v>43.399000000000001</v>
      </c>
      <c r="H32">
        <v>43</v>
      </c>
    </row>
    <row r="33" spans="1:8" ht="15.3" x14ac:dyDescent="0.55000000000000004">
      <c r="A33" s="1">
        <v>39598</v>
      </c>
      <c r="B33" s="24">
        <v>0.5</v>
      </c>
      <c r="C33" s="13"/>
      <c r="G33">
        <f t="shared" si="0"/>
        <v>70.39500000000001</v>
      </c>
      <c r="H33">
        <v>70</v>
      </c>
    </row>
    <row r="34" spans="1:8" ht="15.3" x14ac:dyDescent="0.55000000000000004">
      <c r="A34" s="1">
        <v>39624</v>
      </c>
      <c r="B34" s="24">
        <v>0.33</v>
      </c>
      <c r="C34" s="13"/>
      <c r="G34">
        <f t="shared" si="0"/>
        <v>43.399000000000001</v>
      </c>
      <c r="H34">
        <v>43</v>
      </c>
    </row>
    <row r="35" spans="1:8" ht="15.3" x14ac:dyDescent="0.55000000000000004">
      <c r="A35" s="1">
        <v>39672</v>
      </c>
      <c r="B35" s="24">
        <v>0.25</v>
      </c>
      <c r="C35" s="13"/>
      <c r="G35">
        <f t="shared" si="0"/>
        <v>30.695</v>
      </c>
      <c r="H35">
        <v>31</v>
      </c>
    </row>
    <row r="36" spans="1:8" ht="15.3" x14ac:dyDescent="0.55000000000000004">
      <c r="A36" s="1">
        <v>39693</v>
      </c>
      <c r="B36" s="24">
        <v>0.25</v>
      </c>
      <c r="C36" s="13"/>
      <c r="G36">
        <f t="shared" si="0"/>
        <v>30.695</v>
      </c>
      <c r="H36">
        <v>31</v>
      </c>
    </row>
    <row r="37" spans="1:8" x14ac:dyDescent="0.55000000000000004">
      <c r="A37" s="1">
        <v>39751</v>
      </c>
      <c r="C37" s="13"/>
    </row>
    <row r="38" spans="1:8" x14ac:dyDescent="0.55000000000000004">
      <c r="A38" s="1">
        <v>39784</v>
      </c>
      <c r="C38" s="13"/>
    </row>
    <row r="39" spans="1:8" ht="15.3" x14ac:dyDescent="0.55000000000000004">
      <c r="A39" s="1">
        <v>39812</v>
      </c>
      <c r="B39" s="24">
        <v>0.5</v>
      </c>
      <c r="C39" s="13"/>
      <c r="G39">
        <f t="shared" si="0"/>
        <v>70.39500000000001</v>
      </c>
      <c r="H39">
        <f t="shared" ref="H39:H49" si="3">G39</f>
        <v>70.39500000000001</v>
      </c>
    </row>
    <row r="40" spans="1:8" ht="15.3" x14ac:dyDescent="0.55000000000000004">
      <c r="A40" s="1">
        <v>39877</v>
      </c>
      <c r="B40" s="24">
        <v>0.8</v>
      </c>
      <c r="C40" s="13"/>
      <c r="G40">
        <f t="shared" si="0"/>
        <v>118.03500000000003</v>
      </c>
      <c r="H40">
        <f t="shared" si="3"/>
        <v>118.03500000000003</v>
      </c>
    </row>
    <row r="41" spans="1:8" ht="15.3" x14ac:dyDescent="0.55000000000000004">
      <c r="A41" s="4">
        <v>39946</v>
      </c>
      <c r="B41" s="24">
        <v>0.75</v>
      </c>
      <c r="C41" s="13"/>
      <c r="G41">
        <f t="shared" si="0"/>
        <v>110.09500000000001</v>
      </c>
      <c r="H41">
        <f t="shared" si="3"/>
        <v>110.09500000000001</v>
      </c>
    </row>
    <row r="42" spans="1:8" ht="15.3" x14ac:dyDescent="0.55000000000000004">
      <c r="A42" s="4">
        <v>40065</v>
      </c>
      <c r="B42" s="24">
        <v>0.33</v>
      </c>
      <c r="C42" s="13"/>
      <c r="G42">
        <f>158.8*B42-9.005</f>
        <v>43.399000000000001</v>
      </c>
      <c r="H42">
        <f t="shared" si="3"/>
        <v>43.399000000000001</v>
      </c>
    </row>
    <row r="43" spans="1:8" ht="15.3" x14ac:dyDescent="0.55000000000000004">
      <c r="A43" s="4">
        <v>40126</v>
      </c>
      <c r="B43" s="24">
        <v>0.75</v>
      </c>
      <c r="C43" s="13"/>
      <c r="G43">
        <f t="shared" si="0"/>
        <v>110.09500000000001</v>
      </c>
      <c r="H43">
        <f t="shared" si="3"/>
        <v>110.09500000000001</v>
      </c>
    </row>
    <row r="44" spans="1:8" ht="15.3" x14ac:dyDescent="0.55000000000000004">
      <c r="A44" s="1">
        <v>40273</v>
      </c>
      <c r="B44" s="24">
        <v>0.75</v>
      </c>
      <c r="C44" s="13"/>
      <c r="G44">
        <f t="shared" si="0"/>
        <v>110.09500000000001</v>
      </c>
      <c r="H44">
        <f t="shared" si="3"/>
        <v>110.09500000000001</v>
      </c>
    </row>
    <row r="45" spans="1:8" ht="15.3" x14ac:dyDescent="0.55000000000000004">
      <c r="A45" s="1">
        <v>40330</v>
      </c>
      <c r="B45" s="24">
        <v>0.5</v>
      </c>
      <c r="C45" s="13"/>
      <c r="G45">
        <f t="shared" si="0"/>
        <v>70.39500000000001</v>
      </c>
      <c r="H45">
        <f t="shared" si="3"/>
        <v>70.39500000000001</v>
      </c>
    </row>
    <row r="46" spans="1:8" ht="15.3" x14ac:dyDescent="0.55000000000000004">
      <c r="A46" s="1">
        <v>40395</v>
      </c>
      <c r="B46" s="24">
        <v>0.375</v>
      </c>
      <c r="C46" s="13"/>
      <c r="G46">
        <f t="shared" si="0"/>
        <v>50.545000000000002</v>
      </c>
      <c r="H46">
        <f t="shared" si="3"/>
        <v>50.545000000000002</v>
      </c>
    </row>
    <row r="47" spans="1:8" ht="15.3" x14ac:dyDescent="0.55000000000000004">
      <c r="A47" s="5">
        <v>40457</v>
      </c>
      <c r="B47" s="24">
        <v>0.25</v>
      </c>
      <c r="C47" s="13"/>
      <c r="G47">
        <f t="shared" si="0"/>
        <v>30.695</v>
      </c>
      <c r="H47">
        <f t="shared" si="3"/>
        <v>30.695</v>
      </c>
    </row>
    <row r="48" spans="1:8" ht="15.3" x14ac:dyDescent="0.55000000000000004">
      <c r="A48" s="5">
        <v>40560</v>
      </c>
      <c r="B48" s="24">
        <v>0.2</v>
      </c>
      <c r="C48" s="13"/>
      <c r="G48">
        <f t="shared" si="0"/>
        <v>22.755000000000003</v>
      </c>
      <c r="H48">
        <f t="shared" si="3"/>
        <v>22.755000000000003</v>
      </c>
    </row>
    <row r="49" spans="1:8" ht="15.3" x14ac:dyDescent="0.55000000000000004">
      <c r="A49" s="5">
        <v>40604</v>
      </c>
      <c r="B49" s="24">
        <v>0.17</v>
      </c>
      <c r="C49" s="13"/>
      <c r="G49">
        <f t="shared" si="0"/>
        <v>17.991</v>
      </c>
      <c r="H49">
        <f t="shared" si="3"/>
        <v>17.991</v>
      </c>
    </row>
  </sheetData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C20" sqref="C20"/>
    </sheetView>
  </sheetViews>
  <sheetFormatPr defaultRowHeight="14.4" x14ac:dyDescent="0.55000000000000004"/>
  <cols>
    <col min="1" max="1" width="19.41796875" customWidth="1"/>
    <col min="2" max="2" width="16.41796875" customWidth="1"/>
    <col min="3" max="3" width="17.68359375" customWidth="1"/>
    <col min="5" max="5" width="18.68359375" customWidth="1"/>
    <col min="6" max="6" width="16.578125" customWidth="1"/>
    <col min="7" max="7" width="17.41796875" customWidth="1"/>
  </cols>
  <sheetData>
    <row r="1" spans="1:7" x14ac:dyDescent="0.55000000000000004">
      <c r="A1" s="6" t="s">
        <v>38</v>
      </c>
      <c r="B1" s="6"/>
      <c r="C1" s="6"/>
      <c r="E1" s="6" t="s">
        <v>43</v>
      </c>
      <c r="F1" s="6"/>
      <c r="G1" s="6"/>
    </row>
    <row r="2" spans="1:7" ht="14.7" thickBot="1" x14ac:dyDescent="0.6">
      <c r="A2" t="s">
        <v>17</v>
      </c>
      <c r="E2" t="s">
        <v>39</v>
      </c>
    </row>
    <row r="3" spans="1:7" ht="14.7" thickBot="1" x14ac:dyDescent="0.6">
      <c r="A3" s="7" t="s">
        <v>41</v>
      </c>
      <c r="B3" s="7" t="s">
        <v>40</v>
      </c>
      <c r="C3" s="7" t="s">
        <v>55</v>
      </c>
      <c r="E3" s="7" t="s">
        <v>42</v>
      </c>
      <c r="F3" s="7" t="s">
        <v>40</v>
      </c>
      <c r="G3" s="7" t="s">
        <v>55</v>
      </c>
    </row>
    <row r="4" spans="1:7" x14ac:dyDescent="0.55000000000000004">
      <c r="A4" s="8">
        <v>0</v>
      </c>
      <c r="B4" s="9">
        <v>50</v>
      </c>
      <c r="C4" s="9">
        <f>AVERAGE(B4:B27)</f>
        <v>125.71428571428571</v>
      </c>
      <c r="E4" s="8">
        <v>0</v>
      </c>
      <c r="F4" s="9">
        <v>250</v>
      </c>
      <c r="G4" s="9">
        <f>AVERAGE(F4:F27)</f>
        <v>209.28571428571428</v>
      </c>
    </row>
    <row r="5" spans="1:7" x14ac:dyDescent="0.55000000000000004">
      <c r="A5" s="10" t="s">
        <v>18</v>
      </c>
      <c r="B5" s="10">
        <v>140</v>
      </c>
      <c r="C5" s="10"/>
      <c r="E5" s="10" t="s">
        <v>18</v>
      </c>
      <c r="F5" s="10">
        <v>125</v>
      </c>
      <c r="G5" s="10"/>
    </row>
    <row r="6" spans="1:7" x14ac:dyDescent="0.55000000000000004">
      <c r="A6" s="10" t="s">
        <v>19</v>
      </c>
      <c r="B6" s="10">
        <v>100</v>
      </c>
      <c r="C6" s="10"/>
      <c r="E6" s="10" t="s">
        <v>19</v>
      </c>
      <c r="F6" s="10">
        <v>135</v>
      </c>
      <c r="G6" s="10"/>
    </row>
    <row r="7" spans="1:7" x14ac:dyDescent="0.55000000000000004">
      <c r="A7" s="10" t="s">
        <v>20</v>
      </c>
      <c r="B7" s="10">
        <v>150</v>
      </c>
      <c r="C7" s="10"/>
      <c r="E7" s="10" t="s">
        <v>20</v>
      </c>
      <c r="F7" s="10">
        <v>200</v>
      </c>
      <c r="G7" s="10"/>
    </row>
    <row r="8" spans="1:7" x14ac:dyDescent="0.55000000000000004">
      <c r="A8" s="10" t="s">
        <v>21</v>
      </c>
      <c r="B8" s="10">
        <v>120</v>
      </c>
      <c r="C8" s="10"/>
      <c r="E8" s="10" t="s">
        <v>21</v>
      </c>
      <c r="F8" s="10">
        <v>260</v>
      </c>
      <c r="G8" s="10"/>
    </row>
    <row r="9" spans="1:7" x14ac:dyDescent="0.55000000000000004">
      <c r="A9" s="10" t="s">
        <v>22</v>
      </c>
      <c r="B9" s="10">
        <v>190</v>
      </c>
      <c r="C9" s="10"/>
      <c r="E9" s="10" t="s">
        <v>22</v>
      </c>
      <c r="F9" s="10">
        <v>230</v>
      </c>
    </row>
    <row r="10" spans="1:7" x14ac:dyDescent="0.55000000000000004">
      <c r="A10" s="10"/>
      <c r="B10" s="10"/>
      <c r="C10" s="10"/>
      <c r="E10" s="10"/>
      <c r="F10" s="10"/>
      <c r="G10" s="10"/>
    </row>
    <row r="11" spans="1:7" x14ac:dyDescent="0.55000000000000004">
      <c r="A11" s="10" t="s">
        <v>23</v>
      </c>
      <c r="B11" s="11">
        <v>0</v>
      </c>
      <c r="C11" s="10"/>
      <c r="E11" s="10" t="s">
        <v>23</v>
      </c>
      <c r="F11" s="10">
        <v>370</v>
      </c>
      <c r="G11" s="10"/>
    </row>
    <row r="12" spans="1:7" x14ac:dyDescent="0.55000000000000004">
      <c r="A12" s="10" t="s">
        <v>24</v>
      </c>
      <c r="B12" s="10">
        <v>60</v>
      </c>
      <c r="C12" s="10"/>
      <c r="E12" s="10" t="s">
        <v>24</v>
      </c>
      <c r="F12" s="10">
        <v>145</v>
      </c>
      <c r="G12" s="10"/>
    </row>
    <row r="13" spans="1:7" x14ac:dyDescent="0.55000000000000004">
      <c r="A13" s="10" t="s">
        <v>25</v>
      </c>
      <c r="B13" s="10">
        <v>0</v>
      </c>
      <c r="C13" s="10"/>
      <c r="E13" s="10" t="s">
        <v>25</v>
      </c>
      <c r="F13" s="10">
        <v>115</v>
      </c>
      <c r="G13" s="10"/>
    </row>
    <row r="14" spans="1:7" x14ac:dyDescent="0.55000000000000004">
      <c r="A14" s="10" t="s">
        <v>26</v>
      </c>
      <c r="B14" s="10">
        <v>190</v>
      </c>
      <c r="C14" s="10"/>
      <c r="E14" s="10" t="s">
        <v>26</v>
      </c>
      <c r="F14" s="10">
        <v>140</v>
      </c>
      <c r="G14" s="10"/>
    </row>
    <row r="15" spans="1:7" x14ac:dyDescent="0.55000000000000004">
      <c r="A15" s="10" t="s">
        <v>27</v>
      </c>
      <c r="B15" s="10">
        <v>375</v>
      </c>
      <c r="C15" s="10"/>
      <c r="E15" s="10" t="s">
        <v>27</v>
      </c>
      <c r="F15" s="10">
        <v>270</v>
      </c>
      <c r="G15" s="10"/>
    </row>
    <row r="16" spans="1:7" x14ac:dyDescent="0.55000000000000004">
      <c r="A16" s="10"/>
      <c r="B16" s="10"/>
      <c r="C16" s="10"/>
      <c r="E16" s="10"/>
      <c r="F16" s="10"/>
    </row>
    <row r="17" spans="1:7" x14ac:dyDescent="0.55000000000000004">
      <c r="A17" s="10" t="s">
        <v>28</v>
      </c>
      <c r="B17" s="10">
        <v>80</v>
      </c>
      <c r="C17" s="10"/>
      <c r="E17" s="10" t="s">
        <v>28</v>
      </c>
      <c r="F17">
        <v>150</v>
      </c>
      <c r="G17" s="10"/>
    </row>
    <row r="18" spans="1:7" x14ac:dyDescent="0.55000000000000004">
      <c r="A18" s="10" t="s">
        <v>29</v>
      </c>
      <c r="B18" s="10">
        <v>60</v>
      </c>
      <c r="C18" s="10"/>
      <c r="E18" s="10" t="s">
        <v>29</v>
      </c>
      <c r="F18" s="10">
        <v>50</v>
      </c>
      <c r="G18" s="10"/>
    </row>
    <row r="19" spans="1:7" x14ac:dyDescent="0.55000000000000004">
      <c r="A19" s="10" t="s">
        <v>30</v>
      </c>
      <c r="B19" s="10">
        <v>200</v>
      </c>
      <c r="C19" s="10"/>
      <c r="E19" s="10" t="s">
        <v>30</v>
      </c>
      <c r="F19" s="10">
        <v>30</v>
      </c>
      <c r="G19" s="10"/>
    </row>
    <row r="20" spans="1:7" x14ac:dyDescent="0.55000000000000004">
      <c r="A20" s="10" t="s">
        <v>31</v>
      </c>
      <c r="B20" s="10">
        <v>180</v>
      </c>
      <c r="C20" s="10"/>
      <c r="E20" s="10" t="s">
        <v>31</v>
      </c>
      <c r="F20" s="10">
        <v>45</v>
      </c>
      <c r="G20" s="10"/>
    </row>
    <row r="21" spans="1:7" x14ac:dyDescent="0.55000000000000004">
      <c r="A21" s="10" t="s">
        <v>32</v>
      </c>
      <c r="B21" s="10">
        <v>235</v>
      </c>
      <c r="C21" s="10"/>
      <c r="E21" s="10" t="s">
        <v>32</v>
      </c>
      <c r="F21" s="10">
        <v>190</v>
      </c>
      <c r="G21" s="10"/>
    </row>
    <row r="22" spans="1:7" x14ac:dyDescent="0.55000000000000004">
      <c r="A22" s="10"/>
      <c r="B22" s="10"/>
      <c r="C22" s="10"/>
      <c r="E22" s="10"/>
      <c r="F22" s="10"/>
      <c r="G22" s="10"/>
    </row>
    <row r="23" spans="1:7" x14ac:dyDescent="0.55000000000000004">
      <c r="A23" s="10" t="s">
        <v>33</v>
      </c>
      <c r="B23" s="10">
        <v>150</v>
      </c>
      <c r="C23" s="10"/>
      <c r="E23" s="10" t="s">
        <v>33</v>
      </c>
      <c r="F23" s="10">
        <v>400</v>
      </c>
      <c r="G23" s="10"/>
    </row>
    <row r="24" spans="1:7" x14ac:dyDescent="0.55000000000000004">
      <c r="A24" s="10" t="s">
        <v>34</v>
      </c>
      <c r="B24" s="10">
        <v>40</v>
      </c>
      <c r="E24" s="10" t="s">
        <v>34</v>
      </c>
      <c r="F24" s="10">
        <v>320</v>
      </c>
      <c r="G24" s="10"/>
    </row>
    <row r="25" spans="1:7" x14ac:dyDescent="0.55000000000000004">
      <c r="A25" s="10" t="s">
        <v>35</v>
      </c>
      <c r="B25" s="10">
        <v>90</v>
      </c>
      <c r="E25" s="10" t="s">
        <v>35</v>
      </c>
      <c r="F25">
        <v>200</v>
      </c>
      <c r="G25" s="10"/>
    </row>
    <row r="26" spans="1:7" x14ac:dyDescent="0.55000000000000004">
      <c r="A26" s="10" t="s">
        <v>36</v>
      </c>
      <c r="B26" s="10">
        <v>40</v>
      </c>
      <c r="C26" s="10"/>
      <c r="E26" s="10" t="s">
        <v>36</v>
      </c>
      <c r="F26" s="10">
        <v>370</v>
      </c>
      <c r="G26" s="10"/>
    </row>
    <row r="27" spans="1:7" x14ac:dyDescent="0.55000000000000004">
      <c r="A27" s="10" t="s">
        <v>37</v>
      </c>
      <c r="B27" s="10">
        <v>190</v>
      </c>
      <c r="C27" s="10"/>
      <c r="E27" s="10" t="s">
        <v>37</v>
      </c>
      <c r="F27" s="10">
        <v>400</v>
      </c>
      <c r="G27" s="10"/>
    </row>
    <row r="28" spans="1:7" x14ac:dyDescent="0.55000000000000004">
      <c r="C28" s="10"/>
      <c r="G28" s="10"/>
    </row>
    <row r="29" spans="1:7" x14ac:dyDescent="0.55000000000000004">
      <c r="C29" s="10"/>
      <c r="G29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1"/>
  <sheetViews>
    <sheetView workbookViewId="0">
      <selection activeCell="J6" sqref="J6"/>
    </sheetView>
  </sheetViews>
  <sheetFormatPr defaultRowHeight="14.4" x14ac:dyDescent="0.55000000000000004"/>
  <cols>
    <col min="1" max="1" width="12" customWidth="1"/>
    <col min="7" max="7" width="20.15625" customWidth="1"/>
    <col min="8" max="8" width="22.68359375" customWidth="1"/>
  </cols>
  <sheetData>
    <row r="1" spans="1:8" x14ac:dyDescent="0.55000000000000004">
      <c r="A1" t="s">
        <v>46</v>
      </c>
      <c r="B1" t="s">
        <v>233</v>
      </c>
      <c r="C1" t="s">
        <v>205</v>
      </c>
      <c r="D1" t="s">
        <v>206</v>
      </c>
      <c r="E1" t="s">
        <v>207</v>
      </c>
      <c r="F1" t="s">
        <v>208</v>
      </c>
      <c r="G1" s="86" t="s">
        <v>209</v>
      </c>
      <c r="H1" t="s">
        <v>210</v>
      </c>
    </row>
    <row r="2" spans="1:8" x14ac:dyDescent="0.55000000000000004">
      <c r="A2" s="25">
        <v>36527</v>
      </c>
      <c r="B2">
        <v>46.989800000000002</v>
      </c>
      <c r="C2">
        <v>54.099959999999996</v>
      </c>
      <c r="D2">
        <f>C2-B2</f>
        <v>7.1101599999999934</v>
      </c>
      <c r="E2" t="s">
        <v>211</v>
      </c>
      <c r="F2">
        <v>-16.846305000000001</v>
      </c>
      <c r="G2" s="86">
        <f>A2</f>
        <v>36527</v>
      </c>
      <c r="H2">
        <f>D2-F2</f>
        <v>23.956464999999994</v>
      </c>
    </row>
    <row r="3" spans="1:8" x14ac:dyDescent="0.55000000000000004">
      <c r="A3" s="25">
        <v>36557</v>
      </c>
      <c r="B3">
        <v>47.16995</v>
      </c>
      <c r="C3">
        <v>0.10000012</v>
      </c>
      <c r="D3">
        <f t="shared" ref="D3:D13" si="0">C3-B3</f>
        <v>-47.069949880000003</v>
      </c>
      <c r="E3" t="s">
        <v>212</v>
      </c>
      <c r="F3">
        <v>-9.877597500000002</v>
      </c>
      <c r="G3" s="86">
        <f>A3</f>
        <v>36557</v>
      </c>
      <c r="H3">
        <f>D3-F3+H2</f>
        <v>-13.235887380000008</v>
      </c>
    </row>
    <row r="4" spans="1:8" x14ac:dyDescent="0.55000000000000004">
      <c r="A4" s="25">
        <v>36587</v>
      </c>
      <c r="B4">
        <v>44.435400000000001</v>
      </c>
      <c r="C4">
        <v>43.200049999999997</v>
      </c>
      <c r="D4">
        <f t="shared" si="0"/>
        <v>-1.2353500000000039</v>
      </c>
      <c r="E4" t="s">
        <v>213</v>
      </c>
      <c r="F4">
        <v>-3.8404837500000024</v>
      </c>
      <c r="G4" s="86">
        <f t="shared" ref="G4:G67" si="1">A4</f>
        <v>36587</v>
      </c>
      <c r="H4">
        <f t="shared" ref="H4:H67" si="2">D4-F4+H3</f>
        <v>-10.63075363000001</v>
      </c>
    </row>
    <row r="5" spans="1:8" x14ac:dyDescent="0.55000000000000004">
      <c r="A5" s="25">
        <v>36618</v>
      </c>
      <c r="B5">
        <v>36.086399999999998</v>
      </c>
      <c r="C5">
        <v>29.30001</v>
      </c>
      <c r="D5">
        <f t="shared" si="0"/>
        <v>-6.7863899999999973</v>
      </c>
      <c r="E5" t="s">
        <v>214</v>
      </c>
      <c r="F5">
        <v>0.99378624999999587</v>
      </c>
      <c r="G5" s="86">
        <f t="shared" si="1"/>
        <v>36618</v>
      </c>
      <c r="H5">
        <f t="shared" si="2"/>
        <v>-18.410929880000005</v>
      </c>
    </row>
    <row r="6" spans="1:8" x14ac:dyDescent="0.55000000000000004">
      <c r="A6" s="25">
        <v>36648</v>
      </c>
      <c r="B6">
        <v>42.423809999999996</v>
      </c>
      <c r="C6">
        <v>24.500013000000003</v>
      </c>
      <c r="D6">
        <f t="shared" si="0"/>
        <v>-17.923796999999993</v>
      </c>
      <c r="E6" t="s">
        <v>215</v>
      </c>
      <c r="F6">
        <v>45.34754375</v>
      </c>
      <c r="G6" s="86">
        <f t="shared" si="1"/>
        <v>36648</v>
      </c>
      <c r="H6">
        <f t="shared" si="2"/>
        <v>-81.682270630000005</v>
      </c>
    </row>
    <row r="7" spans="1:8" x14ac:dyDescent="0.55000000000000004">
      <c r="A7" s="25">
        <v>36679</v>
      </c>
      <c r="B7">
        <v>34.483499999999999</v>
      </c>
      <c r="C7">
        <v>86.600099999999998</v>
      </c>
      <c r="D7">
        <f t="shared" si="0"/>
        <v>52.116599999999998</v>
      </c>
      <c r="E7" t="s">
        <v>216</v>
      </c>
      <c r="F7">
        <v>34.52662875</v>
      </c>
      <c r="G7" s="86">
        <f t="shared" si="1"/>
        <v>36679</v>
      </c>
      <c r="H7">
        <f t="shared" si="2"/>
        <v>-64.092299380000014</v>
      </c>
    </row>
    <row r="8" spans="1:8" x14ac:dyDescent="0.55000000000000004">
      <c r="A8" s="25">
        <v>36709</v>
      </c>
      <c r="B8">
        <v>38.556249999999999</v>
      </c>
      <c r="C8">
        <v>146.30015999999998</v>
      </c>
      <c r="D8">
        <f t="shared" si="0"/>
        <v>107.74390999999997</v>
      </c>
      <c r="E8" t="s">
        <v>217</v>
      </c>
      <c r="F8">
        <v>71.414827142857149</v>
      </c>
      <c r="G8" s="86">
        <f t="shared" si="1"/>
        <v>36709</v>
      </c>
      <c r="H8">
        <f t="shared" si="2"/>
        <v>-27.763216522857192</v>
      </c>
    </row>
    <row r="9" spans="1:8" x14ac:dyDescent="0.55000000000000004">
      <c r="A9" s="25">
        <v>36740</v>
      </c>
      <c r="B9">
        <v>54.095309999999998</v>
      </c>
      <c r="C9">
        <v>100.09993</v>
      </c>
      <c r="D9">
        <f t="shared" si="0"/>
        <v>46.004620000000003</v>
      </c>
      <c r="E9" t="s">
        <v>218</v>
      </c>
      <c r="F9">
        <v>27.86400428571428</v>
      </c>
      <c r="G9" s="86">
        <f t="shared" si="1"/>
        <v>36740</v>
      </c>
      <c r="H9">
        <f t="shared" si="2"/>
        <v>-9.6226008085714696</v>
      </c>
    </row>
    <row r="10" spans="1:8" x14ac:dyDescent="0.55000000000000004">
      <c r="A10" s="25">
        <v>36771</v>
      </c>
      <c r="B10">
        <v>83.151600000000002</v>
      </c>
      <c r="C10">
        <v>36.099900000000005</v>
      </c>
      <c r="D10">
        <f t="shared" si="0"/>
        <v>-47.051699999999997</v>
      </c>
      <c r="E10" t="s">
        <v>219</v>
      </c>
      <c r="F10">
        <v>-26.162430000000001</v>
      </c>
      <c r="G10" s="86">
        <f t="shared" si="1"/>
        <v>36771</v>
      </c>
      <c r="H10">
        <f t="shared" si="2"/>
        <v>-30.511870808571466</v>
      </c>
    </row>
    <row r="11" spans="1:8" x14ac:dyDescent="0.55000000000000004">
      <c r="A11" s="25">
        <v>36801</v>
      </c>
      <c r="B11">
        <v>102.49560999999999</v>
      </c>
      <c r="C11">
        <v>5.099996</v>
      </c>
      <c r="D11">
        <f t="shared" si="0"/>
        <v>-97.395613999999981</v>
      </c>
      <c r="E11" t="s">
        <v>220</v>
      </c>
      <c r="F11">
        <v>-57.00909</v>
      </c>
      <c r="G11" s="86">
        <f t="shared" si="1"/>
        <v>36801</v>
      </c>
      <c r="H11">
        <f t="shared" si="2"/>
        <v>-70.898394808571453</v>
      </c>
    </row>
    <row r="12" spans="1:8" x14ac:dyDescent="0.55000000000000004">
      <c r="A12" s="25">
        <v>36832</v>
      </c>
      <c r="B12">
        <v>44.299799999999998</v>
      </c>
      <c r="C12">
        <v>8.7999900000000011</v>
      </c>
      <c r="D12">
        <f t="shared" si="0"/>
        <v>-35.499809999999997</v>
      </c>
      <c r="E12" t="s">
        <v>221</v>
      </c>
      <c r="F12">
        <v>-34.912025714285718</v>
      </c>
      <c r="G12" s="86">
        <f t="shared" si="1"/>
        <v>36832</v>
      </c>
      <c r="H12">
        <f t="shared" si="2"/>
        <v>-71.486179094285731</v>
      </c>
    </row>
    <row r="13" spans="1:8" x14ac:dyDescent="0.55000000000000004">
      <c r="A13" s="25">
        <v>36862</v>
      </c>
      <c r="B13">
        <v>26.570502999999999</v>
      </c>
      <c r="C13">
        <v>45.348039999999997</v>
      </c>
      <c r="D13">
        <f t="shared" si="0"/>
        <v>18.777536999999999</v>
      </c>
      <c r="E13" t="s">
        <v>222</v>
      </c>
      <c r="F13">
        <v>-17.946062857142852</v>
      </c>
      <c r="G13" s="86">
        <f t="shared" si="1"/>
        <v>36862</v>
      </c>
      <c r="H13">
        <f t="shared" si="2"/>
        <v>-34.76257923714288</v>
      </c>
    </row>
    <row r="14" spans="1:8" x14ac:dyDescent="0.55000000000000004">
      <c r="A14" s="25">
        <v>36893</v>
      </c>
      <c r="B14">
        <v>18.767896</v>
      </c>
      <c r="C14">
        <v>5.2000019999999996</v>
      </c>
      <c r="D14">
        <f>C14-B14</f>
        <v>-13.567894000000001</v>
      </c>
      <c r="E14" t="s">
        <v>211</v>
      </c>
      <c r="F14">
        <v>-16.846305000000001</v>
      </c>
      <c r="G14" s="86">
        <f t="shared" si="1"/>
        <v>36893</v>
      </c>
      <c r="H14">
        <f t="shared" si="2"/>
        <v>-31.484168237142882</v>
      </c>
    </row>
    <row r="15" spans="1:8" x14ac:dyDescent="0.55000000000000004">
      <c r="A15" s="25">
        <v>36923</v>
      </c>
      <c r="B15">
        <v>17.273592000000001</v>
      </c>
      <c r="C15">
        <v>2.3000012000000001</v>
      </c>
      <c r="D15">
        <f t="shared" ref="D15:D25" si="3">C15-B15</f>
        <v>-14.9735908</v>
      </c>
      <c r="E15" t="s">
        <v>212</v>
      </c>
      <c r="F15">
        <v>-9.877597500000002</v>
      </c>
      <c r="G15" s="86">
        <f t="shared" si="1"/>
        <v>36923</v>
      </c>
      <c r="H15">
        <f t="shared" si="2"/>
        <v>-36.580161537142878</v>
      </c>
    </row>
    <row r="16" spans="1:8" x14ac:dyDescent="0.55000000000000004">
      <c r="A16" s="25">
        <v>36952</v>
      </c>
      <c r="B16">
        <v>20.268698999999998</v>
      </c>
      <c r="C16">
        <v>7.6999969999999989</v>
      </c>
      <c r="D16">
        <f t="shared" si="3"/>
        <v>-12.568701999999998</v>
      </c>
      <c r="E16" t="s">
        <v>213</v>
      </c>
      <c r="F16">
        <v>-3.8404837500000024</v>
      </c>
      <c r="G16" s="86">
        <f t="shared" si="1"/>
        <v>36952</v>
      </c>
      <c r="H16">
        <f t="shared" si="2"/>
        <v>-45.308379787142876</v>
      </c>
    </row>
    <row r="17" spans="1:8" x14ac:dyDescent="0.55000000000000004">
      <c r="A17" s="25">
        <v>36983</v>
      </c>
      <c r="B17">
        <v>14.936430000000001</v>
      </c>
      <c r="C17">
        <v>1.2000000000000002</v>
      </c>
      <c r="D17">
        <f t="shared" si="3"/>
        <v>-13.736430000000002</v>
      </c>
      <c r="E17" t="s">
        <v>214</v>
      </c>
      <c r="F17">
        <v>0.99378624999999587</v>
      </c>
      <c r="G17" s="86">
        <f t="shared" si="1"/>
        <v>36983</v>
      </c>
      <c r="H17">
        <f t="shared" si="2"/>
        <v>-60.038596037142874</v>
      </c>
    </row>
    <row r="18" spans="1:8" x14ac:dyDescent="0.55000000000000004">
      <c r="A18" s="25">
        <v>37013</v>
      </c>
      <c r="B18">
        <v>25.420402999999997</v>
      </c>
      <c r="C18">
        <v>100.20005999999999</v>
      </c>
      <c r="D18">
        <f t="shared" si="3"/>
        <v>74.779657</v>
      </c>
      <c r="E18" t="s">
        <v>215</v>
      </c>
      <c r="F18">
        <v>45.34754375</v>
      </c>
      <c r="G18" s="86">
        <f t="shared" si="1"/>
        <v>37013</v>
      </c>
      <c r="H18">
        <f t="shared" si="2"/>
        <v>-30.606482787142873</v>
      </c>
    </row>
    <row r="19" spans="1:8" x14ac:dyDescent="0.55000000000000004">
      <c r="A19" s="25">
        <v>37044</v>
      </c>
      <c r="B19">
        <v>41.305500000000002</v>
      </c>
      <c r="C19">
        <v>30.9999</v>
      </c>
      <c r="D19">
        <f t="shared" si="3"/>
        <v>-10.305600000000002</v>
      </c>
      <c r="E19" t="s">
        <v>216</v>
      </c>
      <c r="F19">
        <v>34.52662875</v>
      </c>
      <c r="G19" s="86">
        <f t="shared" si="1"/>
        <v>37044</v>
      </c>
      <c r="H19">
        <f t="shared" si="2"/>
        <v>-75.438711537142865</v>
      </c>
    </row>
    <row r="20" spans="1:8" x14ac:dyDescent="0.55000000000000004">
      <c r="A20" s="25">
        <v>37074</v>
      </c>
      <c r="B20">
        <v>42.445509999999999</v>
      </c>
      <c r="C20">
        <v>143.80001000000001</v>
      </c>
      <c r="D20">
        <f t="shared" si="3"/>
        <v>101.35450000000002</v>
      </c>
      <c r="E20" t="s">
        <v>217</v>
      </c>
      <c r="F20">
        <v>71.414827142857149</v>
      </c>
      <c r="G20" s="86">
        <f t="shared" si="1"/>
        <v>37074</v>
      </c>
      <c r="H20">
        <f t="shared" si="2"/>
        <v>-45.499038679999998</v>
      </c>
    </row>
    <row r="21" spans="1:8" x14ac:dyDescent="0.55000000000000004">
      <c r="A21" s="25">
        <v>37105</v>
      </c>
      <c r="B21">
        <v>61.100999999999999</v>
      </c>
      <c r="C21">
        <v>87.800060000000002</v>
      </c>
      <c r="D21">
        <f t="shared" si="3"/>
        <v>26.699060000000003</v>
      </c>
      <c r="E21" t="s">
        <v>218</v>
      </c>
      <c r="F21">
        <v>27.86400428571428</v>
      </c>
      <c r="G21" s="86">
        <f t="shared" si="1"/>
        <v>37105</v>
      </c>
      <c r="H21">
        <f t="shared" si="2"/>
        <v>-46.663982965714276</v>
      </c>
    </row>
    <row r="22" spans="1:8" x14ac:dyDescent="0.55000000000000004">
      <c r="A22" s="25">
        <v>37136</v>
      </c>
      <c r="B22">
        <v>70.174199999999999</v>
      </c>
      <c r="C22">
        <v>91.899899999999988</v>
      </c>
      <c r="D22">
        <f t="shared" si="3"/>
        <v>21.725699999999989</v>
      </c>
      <c r="E22" t="s">
        <v>219</v>
      </c>
      <c r="F22">
        <v>-26.162430000000001</v>
      </c>
      <c r="G22" s="86">
        <f t="shared" si="1"/>
        <v>37136</v>
      </c>
      <c r="H22">
        <f t="shared" si="2"/>
        <v>1.2241470342857141</v>
      </c>
    </row>
    <row r="23" spans="1:8" x14ac:dyDescent="0.55000000000000004">
      <c r="A23" s="25">
        <v>37166</v>
      </c>
      <c r="B23">
        <v>103.61161</v>
      </c>
      <c r="C23">
        <v>25.699991999999998</v>
      </c>
      <c r="D23">
        <f t="shared" si="3"/>
        <v>-77.911618000000004</v>
      </c>
      <c r="E23" t="s">
        <v>220</v>
      </c>
      <c r="F23">
        <v>-57.00909</v>
      </c>
      <c r="G23" s="86">
        <f t="shared" si="1"/>
        <v>37166</v>
      </c>
      <c r="H23">
        <f t="shared" si="2"/>
        <v>-19.67838096571429</v>
      </c>
    </row>
    <row r="24" spans="1:8" x14ac:dyDescent="0.55000000000000004">
      <c r="A24" s="25">
        <v>37197</v>
      </c>
      <c r="B24">
        <v>74.344800000000006</v>
      </c>
      <c r="C24">
        <v>20.000010000000003</v>
      </c>
      <c r="D24">
        <f t="shared" si="3"/>
        <v>-54.344790000000003</v>
      </c>
      <c r="E24" t="s">
        <v>221</v>
      </c>
      <c r="F24">
        <v>-34.912025714285718</v>
      </c>
      <c r="G24" s="86">
        <f t="shared" si="1"/>
        <v>37197</v>
      </c>
      <c r="H24">
        <f t="shared" si="2"/>
        <v>-39.111145251428574</v>
      </c>
    </row>
    <row r="25" spans="1:8" x14ac:dyDescent="0.55000000000000004">
      <c r="A25" s="25">
        <v>37227</v>
      </c>
      <c r="B25">
        <v>41.56635</v>
      </c>
      <c r="C25">
        <v>44.232349999999997</v>
      </c>
      <c r="D25">
        <f t="shared" si="3"/>
        <v>2.6659999999999968</v>
      </c>
      <c r="E25" t="s">
        <v>222</v>
      </c>
      <c r="F25">
        <v>-17.946062857142852</v>
      </c>
      <c r="G25" s="86">
        <f t="shared" si="1"/>
        <v>37227</v>
      </c>
      <c r="H25">
        <f t="shared" si="2"/>
        <v>-18.499082394285725</v>
      </c>
    </row>
    <row r="26" spans="1:8" x14ac:dyDescent="0.55000000000000004">
      <c r="A26" s="25">
        <v>37258</v>
      </c>
      <c r="B26">
        <v>21.384885000000001</v>
      </c>
      <c r="C26">
        <v>3.4999929999999999</v>
      </c>
      <c r="D26">
        <f>C26-B26</f>
        <v>-17.884892000000001</v>
      </c>
      <c r="E26" t="s">
        <v>211</v>
      </c>
      <c r="F26">
        <v>-16.846305000000001</v>
      </c>
      <c r="G26" s="86">
        <f t="shared" si="1"/>
        <v>37258</v>
      </c>
      <c r="H26">
        <f t="shared" si="2"/>
        <v>-19.537669394285725</v>
      </c>
    </row>
    <row r="27" spans="1:8" x14ac:dyDescent="0.55000000000000004">
      <c r="A27" s="25">
        <v>37288</v>
      </c>
      <c r="B27">
        <v>16.801763999999999</v>
      </c>
      <c r="C27">
        <v>4.2</v>
      </c>
      <c r="D27">
        <f t="shared" ref="D27:D37" si="4">C27-B27</f>
        <v>-12.601763999999999</v>
      </c>
      <c r="E27" t="s">
        <v>212</v>
      </c>
      <c r="F27">
        <v>-9.877597500000002</v>
      </c>
      <c r="G27" s="86">
        <f t="shared" si="1"/>
        <v>37288</v>
      </c>
      <c r="H27">
        <f t="shared" si="2"/>
        <v>-22.261835894285724</v>
      </c>
    </row>
    <row r="28" spans="1:8" x14ac:dyDescent="0.55000000000000004">
      <c r="A28" s="25">
        <v>37317</v>
      </c>
      <c r="B28">
        <v>13.992873000000001</v>
      </c>
      <c r="C28">
        <v>1.4000002999999999</v>
      </c>
      <c r="D28">
        <f t="shared" si="4"/>
        <v>-12.592872700000001</v>
      </c>
      <c r="E28" t="s">
        <v>213</v>
      </c>
      <c r="F28">
        <v>-3.8404837500000024</v>
      </c>
      <c r="G28" s="86">
        <f t="shared" si="1"/>
        <v>37317</v>
      </c>
      <c r="H28">
        <f t="shared" si="2"/>
        <v>-31.014224844285721</v>
      </c>
    </row>
    <row r="29" spans="1:8" x14ac:dyDescent="0.55000000000000004">
      <c r="A29" s="25">
        <v>37348</v>
      </c>
      <c r="B29">
        <v>22.061309999999999</v>
      </c>
      <c r="C29">
        <v>57.8001</v>
      </c>
      <c r="D29">
        <f t="shared" si="4"/>
        <v>35.738790000000002</v>
      </c>
      <c r="E29" t="s">
        <v>214</v>
      </c>
      <c r="F29">
        <v>0.99378624999999587</v>
      </c>
      <c r="G29" s="86">
        <f t="shared" si="1"/>
        <v>37348</v>
      </c>
      <c r="H29">
        <f t="shared" si="2"/>
        <v>3.7307789057142884</v>
      </c>
    </row>
    <row r="30" spans="1:8" x14ac:dyDescent="0.55000000000000004">
      <c r="A30" s="25">
        <v>37378</v>
      </c>
      <c r="B30">
        <v>38.180219999999991</v>
      </c>
      <c r="C30">
        <v>45.699890000000003</v>
      </c>
      <c r="D30">
        <f t="shared" si="4"/>
        <v>7.5196700000000121</v>
      </c>
      <c r="E30" t="s">
        <v>215</v>
      </c>
      <c r="F30">
        <v>45.34754375</v>
      </c>
      <c r="G30" s="86">
        <f t="shared" si="1"/>
        <v>37378</v>
      </c>
      <c r="H30">
        <f t="shared" si="2"/>
        <v>-34.097094844285699</v>
      </c>
    </row>
    <row r="31" spans="1:8" x14ac:dyDescent="0.55000000000000004">
      <c r="A31" s="25">
        <v>37409</v>
      </c>
      <c r="B31">
        <v>34.7988</v>
      </c>
      <c r="C31">
        <v>111.09990000000001</v>
      </c>
      <c r="D31">
        <f t="shared" si="4"/>
        <v>76.301100000000005</v>
      </c>
      <c r="E31" t="s">
        <v>216</v>
      </c>
      <c r="F31">
        <v>34.52662875</v>
      </c>
      <c r="G31" s="86">
        <f t="shared" si="1"/>
        <v>37409</v>
      </c>
      <c r="H31">
        <f t="shared" si="2"/>
        <v>7.6773764057143055</v>
      </c>
    </row>
    <row r="32" spans="1:8" x14ac:dyDescent="0.55000000000000004">
      <c r="A32" s="25">
        <v>37439</v>
      </c>
      <c r="B32">
        <v>41.433050000000001</v>
      </c>
      <c r="C32">
        <v>97.89985999999999</v>
      </c>
      <c r="D32">
        <f t="shared" si="4"/>
        <v>56.466809999999988</v>
      </c>
      <c r="E32" t="s">
        <v>217</v>
      </c>
      <c r="F32">
        <v>71.414827142857149</v>
      </c>
      <c r="G32" s="86">
        <f t="shared" si="1"/>
        <v>37439</v>
      </c>
      <c r="H32">
        <f t="shared" si="2"/>
        <v>-7.2706407371428554</v>
      </c>
    </row>
    <row r="33" spans="1:8" x14ac:dyDescent="0.55000000000000004">
      <c r="A33" s="25">
        <v>37470</v>
      </c>
      <c r="B33">
        <v>61.291959999999996</v>
      </c>
      <c r="C33">
        <v>73.300120000000007</v>
      </c>
      <c r="D33">
        <f t="shared" si="4"/>
        <v>12.008160000000011</v>
      </c>
      <c r="E33" t="s">
        <v>218</v>
      </c>
      <c r="F33">
        <v>27.86400428571428</v>
      </c>
      <c r="G33" s="86">
        <f t="shared" si="1"/>
        <v>37470</v>
      </c>
      <c r="H33">
        <f t="shared" si="2"/>
        <v>-23.126485022857125</v>
      </c>
    </row>
    <row r="34" spans="1:8" x14ac:dyDescent="0.55000000000000004">
      <c r="A34" s="25">
        <v>37501</v>
      </c>
      <c r="B34">
        <v>83.489099999999993</v>
      </c>
      <c r="C34">
        <v>42.099899999999998</v>
      </c>
      <c r="D34">
        <f t="shared" si="4"/>
        <v>-41.389199999999995</v>
      </c>
      <c r="E34" t="s">
        <v>219</v>
      </c>
      <c r="F34">
        <v>-26.162430000000001</v>
      </c>
      <c r="G34" s="86">
        <f t="shared" si="1"/>
        <v>37501</v>
      </c>
      <c r="H34">
        <f t="shared" si="2"/>
        <v>-38.35325502285712</v>
      </c>
    </row>
    <row r="35" spans="1:8" x14ac:dyDescent="0.55000000000000004">
      <c r="A35" s="25">
        <v>37531</v>
      </c>
      <c r="B35">
        <v>91.853930000000005</v>
      </c>
      <c r="C35">
        <v>33.90005</v>
      </c>
      <c r="D35">
        <f t="shared" si="4"/>
        <v>-57.953880000000005</v>
      </c>
      <c r="E35" t="s">
        <v>220</v>
      </c>
      <c r="F35">
        <v>-57.00909</v>
      </c>
      <c r="G35" s="86">
        <f t="shared" si="1"/>
        <v>37531</v>
      </c>
      <c r="H35">
        <f t="shared" si="2"/>
        <v>-39.298045022857124</v>
      </c>
    </row>
    <row r="36" spans="1:8" x14ac:dyDescent="0.55000000000000004">
      <c r="A36" s="25">
        <v>37562</v>
      </c>
      <c r="B36">
        <v>51.364199999999997</v>
      </c>
      <c r="C36">
        <v>10.5</v>
      </c>
      <c r="D36">
        <f t="shared" si="4"/>
        <v>-40.864199999999997</v>
      </c>
      <c r="E36" t="s">
        <v>221</v>
      </c>
      <c r="F36">
        <v>-34.912025714285718</v>
      </c>
      <c r="G36" s="86">
        <f t="shared" si="1"/>
        <v>37562</v>
      </c>
      <c r="H36">
        <f t="shared" si="2"/>
        <v>-45.250219308571403</v>
      </c>
    </row>
    <row r="37" spans="1:8" x14ac:dyDescent="0.55000000000000004">
      <c r="A37" s="25">
        <v>37592</v>
      </c>
      <c r="B37">
        <v>24.646239999999999</v>
      </c>
      <c r="C37">
        <v>41.276809999999998</v>
      </c>
      <c r="D37">
        <f t="shared" si="4"/>
        <v>16.630569999999999</v>
      </c>
      <c r="E37" t="s">
        <v>222</v>
      </c>
      <c r="F37">
        <v>-17.946062857142852</v>
      </c>
      <c r="G37" s="86">
        <f t="shared" si="1"/>
        <v>37592</v>
      </c>
      <c r="H37">
        <f t="shared" si="2"/>
        <v>-10.673586451428548</v>
      </c>
    </row>
    <row r="38" spans="1:8" x14ac:dyDescent="0.55000000000000004">
      <c r="A38" s="25">
        <v>37623</v>
      </c>
      <c r="B38">
        <v>16.145667999999997</v>
      </c>
      <c r="C38">
        <v>0</v>
      </c>
      <c r="D38">
        <f>C38-B38</f>
        <v>-16.145667999999997</v>
      </c>
      <c r="E38" t="s">
        <v>211</v>
      </c>
      <c r="F38">
        <v>-16.846305000000001</v>
      </c>
      <c r="G38" s="86">
        <f t="shared" si="1"/>
        <v>37623</v>
      </c>
      <c r="H38">
        <f t="shared" si="2"/>
        <v>-9.9729494514285442</v>
      </c>
    </row>
    <row r="39" spans="1:8" x14ac:dyDescent="0.55000000000000004">
      <c r="A39" s="25">
        <v>37653</v>
      </c>
      <c r="B39">
        <v>17.391023999999998</v>
      </c>
      <c r="C39">
        <v>17.5</v>
      </c>
      <c r="D39">
        <f t="shared" ref="D39:D49" si="5">C39-B39</f>
        <v>0.10897600000000196</v>
      </c>
      <c r="E39" t="s">
        <v>212</v>
      </c>
      <c r="F39">
        <v>-9.877597500000002</v>
      </c>
      <c r="G39" s="86">
        <f t="shared" si="1"/>
        <v>37653</v>
      </c>
      <c r="H39">
        <f t="shared" si="2"/>
        <v>1.3624048571459824E-2</v>
      </c>
    </row>
    <row r="40" spans="1:8" x14ac:dyDescent="0.55000000000000004">
      <c r="A40" s="25">
        <v>37682</v>
      </c>
      <c r="B40">
        <v>19.328531000000002</v>
      </c>
      <c r="C40">
        <v>40.499949999999998</v>
      </c>
      <c r="D40">
        <f t="shared" si="5"/>
        <v>21.171418999999997</v>
      </c>
      <c r="E40" t="s">
        <v>213</v>
      </c>
      <c r="F40">
        <v>-3.8404837500000024</v>
      </c>
      <c r="G40" s="86">
        <f t="shared" si="1"/>
        <v>37682</v>
      </c>
      <c r="H40">
        <f t="shared" si="2"/>
        <v>25.025526798571455</v>
      </c>
    </row>
    <row r="41" spans="1:8" x14ac:dyDescent="0.55000000000000004">
      <c r="A41" s="25">
        <v>37713</v>
      </c>
      <c r="B41">
        <v>42.375300000000003</v>
      </c>
      <c r="C41">
        <v>34.200000000000003</v>
      </c>
      <c r="D41">
        <f t="shared" si="5"/>
        <v>-8.1753</v>
      </c>
      <c r="E41" t="s">
        <v>214</v>
      </c>
      <c r="F41">
        <v>0.99378624999999587</v>
      </c>
      <c r="G41" s="86">
        <f t="shared" si="1"/>
        <v>37713</v>
      </c>
      <c r="H41">
        <f t="shared" si="2"/>
        <v>15.856440548571459</v>
      </c>
    </row>
    <row r="42" spans="1:8" x14ac:dyDescent="0.55000000000000004">
      <c r="A42" s="25">
        <v>37743</v>
      </c>
      <c r="B42">
        <v>38.651110000000003</v>
      </c>
      <c r="C42">
        <v>83.500049999999987</v>
      </c>
      <c r="D42">
        <f t="shared" si="5"/>
        <v>44.848939999999985</v>
      </c>
      <c r="E42" t="s">
        <v>215</v>
      </c>
      <c r="F42">
        <v>45.34754375</v>
      </c>
      <c r="G42" s="86">
        <f t="shared" si="1"/>
        <v>37743</v>
      </c>
      <c r="H42">
        <f t="shared" si="2"/>
        <v>15.357836798571444</v>
      </c>
    </row>
    <row r="43" spans="1:8" x14ac:dyDescent="0.55000000000000004">
      <c r="A43" s="25">
        <v>37774</v>
      </c>
      <c r="B43">
        <v>38.601900000000001</v>
      </c>
      <c r="C43">
        <v>116.4999</v>
      </c>
      <c r="D43">
        <f t="shared" si="5"/>
        <v>77.897999999999996</v>
      </c>
      <c r="E43" t="s">
        <v>216</v>
      </c>
      <c r="F43">
        <v>34.52662875</v>
      </c>
      <c r="G43" s="86">
        <f t="shared" si="1"/>
        <v>37774</v>
      </c>
      <c r="H43">
        <f t="shared" si="2"/>
        <v>58.729208048571437</v>
      </c>
    </row>
    <row r="44" spans="1:8" x14ac:dyDescent="0.55000000000000004">
      <c r="A44" s="25">
        <v>37804</v>
      </c>
      <c r="B44">
        <v>43.683650000000007</v>
      </c>
      <c r="C44">
        <v>102.3</v>
      </c>
      <c r="D44">
        <f>C44-B44</f>
        <v>58.61634999999999</v>
      </c>
      <c r="E44" t="s">
        <v>217</v>
      </c>
      <c r="F44">
        <v>71.414827142857149</v>
      </c>
      <c r="G44" s="86">
        <f t="shared" si="1"/>
        <v>37804</v>
      </c>
      <c r="H44">
        <f t="shared" si="2"/>
        <v>45.930730905714277</v>
      </c>
    </row>
    <row r="45" spans="1:8" x14ac:dyDescent="0.55000000000000004">
      <c r="A45" s="25">
        <v>37835</v>
      </c>
      <c r="B45">
        <v>60.769609999999993</v>
      </c>
      <c r="C45">
        <v>114.80013</v>
      </c>
      <c r="D45">
        <f>C45-B45</f>
        <v>54.030520000000003</v>
      </c>
      <c r="E45" t="s">
        <v>218</v>
      </c>
      <c r="F45">
        <v>27.86400428571428</v>
      </c>
      <c r="G45" s="86">
        <f t="shared" si="1"/>
        <v>37835</v>
      </c>
      <c r="H45">
        <f t="shared" si="2"/>
        <v>72.097246619999993</v>
      </c>
    </row>
    <row r="46" spans="1:8" x14ac:dyDescent="0.55000000000000004">
      <c r="A46" s="25">
        <v>37866</v>
      </c>
      <c r="B46">
        <v>80.962800000000001</v>
      </c>
      <c r="C46">
        <v>81</v>
      </c>
      <c r="D46">
        <f t="shared" si="5"/>
        <v>3.7199999999998568E-2</v>
      </c>
      <c r="E46" t="s">
        <v>219</v>
      </c>
      <c r="F46">
        <v>-26.162430000000001</v>
      </c>
      <c r="G46" s="86">
        <f t="shared" si="1"/>
        <v>37866</v>
      </c>
      <c r="H46">
        <f t="shared" si="2"/>
        <v>98.296876619999992</v>
      </c>
    </row>
    <row r="47" spans="1:8" x14ac:dyDescent="0.55000000000000004">
      <c r="A47" s="25">
        <v>37896</v>
      </c>
      <c r="B47">
        <v>111.29992000000001</v>
      </c>
      <c r="C47">
        <v>15.5</v>
      </c>
      <c r="D47">
        <f t="shared" si="5"/>
        <v>-95.799920000000014</v>
      </c>
      <c r="E47" t="s">
        <v>220</v>
      </c>
      <c r="F47">
        <v>-57.00909</v>
      </c>
      <c r="G47" s="86">
        <f t="shared" si="1"/>
        <v>37896</v>
      </c>
      <c r="H47">
        <f t="shared" si="2"/>
        <v>59.506046619999978</v>
      </c>
    </row>
    <row r="48" spans="1:8" x14ac:dyDescent="0.55000000000000004">
      <c r="A48" s="25">
        <v>37927</v>
      </c>
      <c r="B48">
        <v>67.826700000000002</v>
      </c>
      <c r="C48">
        <v>23.099999999999998</v>
      </c>
      <c r="D48">
        <f t="shared" si="5"/>
        <v>-44.726700000000008</v>
      </c>
      <c r="E48" t="s">
        <v>221</v>
      </c>
      <c r="F48">
        <v>-34.912025714285718</v>
      </c>
      <c r="G48" s="86">
        <f t="shared" si="1"/>
        <v>37927</v>
      </c>
      <c r="H48">
        <f t="shared" si="2"/>
        <v>49.691372334285688</v>
      </c>
    </row>
    <row r="49" spans="1:8" x14ac:dyDescent="0.55000000000000004">
      <c r="A49" s="25">
        <v>37957</v>
      </c>
      <c r="B49">
        <v>37.949269999999999</v>
      </c>
      <c r="C49">
        <v>1.4000002999999999</v>
      </c>
      <c r="D49">
        <f t="shared" si="5"/>
        <v>-36.549269699999996</v>
      </c>
      <c r="E49" t="s">
        <v>222</v>
      </c>
      <c r="F49">
        <v>-17.946062857142852</v>
      </c>
      <c r="G49" s="86">
        <f t="shared" si="1"/>
        <v>37957</v>
      </c>
      <c r="H49">
        <f t="shared" si="2"/>
        <v>31.088165491428544</v>
      </c>
    </row>
    <row r="50" spans="1:8" x14ac:dyDescent="0.55000000000000004">
      <c r="A50" s="25">
        <v>37988</v>
      </c>
      <c r="B50">
        <v>30.603695999999999</v>
      </c>
      <c r="C50">
        <v>15.299988000000001</v>
      </c>
      <c r="D50">
        <f>C50-B50</f>
        <v>-15.303707999999999</v>
      </c>
      <c r="E50" t="s">
        <v>211</v>
      </c>
      <c r="F50">
        <v>-16.846305000000001</v>
      </c>
      <c r="G50" s="86">
        <f t="shared" si="1"/>
        <v>37988</v>
      </c>
      <c r="H50">
        <f t="shared" si="2"/>
        <v>32.630762491428548</v>
      </c>
    </row>
    <row r="51" spans="1:8" x14ac:dyDescent="0.55000000000000004">
      <c r="A51" s="25">
        <v>38018</v>
      </c>
      <c r="B51">
        <v>18.334524999999999</v>
      </c>
      <c r="C51">
        <v>1.8000010000000002</v>
      </c>
      <c r="D51">
        <f t="shared" ref="D51:D61" si="6">C51-B51</f>
        <v>-16.534523999999998</v>
      </c>
      <c r="E51" t="s">
        <v>212</v>
      </c>
      <c r="F51">
        <v>-9.877597500000002</v>
      </c>
      <c r="G51" s="86">
        <f t="shared" si="1"/>
        <v>38018</v>
      </c>
      <c r="H51">
        <f t="shared" si="2"/>
        <v>25.973835991428551</v>
      </c>
    </row>
    <row r="52" spans="1:8" x14ac:dyDescent="0.55000000000000004">
      <c r="A52" s="25">
        <v>38048</v>
      </c>
      <c r="B52">
        <v>16.240528000000001</v>
      </c>
      <c r="C52">
        <v>2.0999989000000001</v>
      </c>
      <c r="D52">
        <f t="shared" si="6"/>
        <v>-14.140529100000002</v>
      </c>
      <c r="E52" t="s">
        <v>213</v>
      </c>
      <c r="F52">
        <v>-3.8404837500000024</v>
      </c>
      <c r="G52" s="86">
        <f t="shared" si="1"/>
        <v>38048</v>
      </c>
      <c r="H52">
        <f t="shared" si="2"/>
        <v>15.673790641428551</v>
      </c>
    </row>
    <row r="53" spans="1:8" x14ac:dyDescent="0.55000000000000004">
      <c r="A53" s="25">
        <v>38079</v>
      </c>
      <c r="B53">
        <v>15.092610000000001</v>
      </c>
      <c r="C53">
        <v>4.7000099999999998</v>
      </c>
      <c r="D53">
        <f t="shared" si="6"/>
        <v>-10.392600000000002</v>
      </c>
      <c r="E53" t="s">
        <v>214</v>
      </c>
      <c r="F53">
        <v>0.99378624999999587</v>
      </c>
      <c r="G53" s="86">
        <f t="shared" si="1"/>
        <v>38079</v>
      </c>
      <c r="H53">
        <f t="shared" si="2"/>
        <v>4.287404391428554</v>
      </c>
    </row>
    <row r="54" spans="1:8" x14ac:dyDescent="0.55000000000000004">
      <c r="A54" s="25">
        <v>38109</v>
      </c>
      <c r="B54">
        <v>29.424890000000001</v>
      </c>
      <c r="C54">
        <v>121.59998000000002</v>
      </c>
      <c r="D54">
        <f t="shared" si="6"/>
        <v>92.175090000000012</v>
      </c>
      <c r="E54" t="s">
        <v>215</v>
      </c>
      <c r="F54">
        <v>45.34754375</v>
      </c>
      <c r="G54" s="86">
        <f t="shared" si="1"/>
        <v>38109</v>
      </c>
      <c r="H54">
        <f t="shared" si="2"/>
        <v>51.114950641428564</v>
      </c>
    </row>
    <row r="55" spans="1:8" x14ac:dyDescent="0.55000000000000004">
      <c r="A55" s="25">
        <v>38140</v>
      </c>
      <c r="B55">
        <v>32.332799999999999</v>
      </c>
      <c r="C55">
        <v>107.90009999999999</v>
      </c>
      <c r="D55">
        <f t="shared" si="6"/>
        <v>75.567299999999989</v>
      </c>
      <c r="E55" t="s">
        <v>216</v>
      </c>
      <c r="F55">
        <v>34.52662875</v>
      </c>
      <c r="G55" s="86">
        <f t="shared" si="1"/>
        <v>38140</v>
      </c>
      <c r="H55">
        <f t="shared" si="2"/>
        <v>92.155621891428552</v>
      </c>
    </row>
    <row r="56" spans="1:8" x14ac:dyDescent="0.55000000000000004">
      <c r="A56" s="25">
        <v>38170</v>
      </c>
      <c r="B56">
        <v>48.959540000000004</v>
      </c>
      <c r="C56">
        <v>73.500069999999994</v>
      </c>
      <c r="D56">
        <f t="shared" si="6"/>
        <v>24.54052999999999</v>
      </c>
      <c r="E56" t="s">
        <v>217</v>
      </c>
      <c r="F56">
        <v>71.414827142857149</v>
      </c>
      <c r="G56" s="86">
        <f t="shared" si="1"/>
        <v>38170</v>
      </c>
      <c r="H56">
        <f t="shared" si="2"/>
        <v>45.281324748571393</v>
      </c>
    </row>
    <row r="57" spans="1:8" x14ac:dyDescent="0.55000000000000004">
      <c r="A57" s="25">
        <v>38201</v>
      </c>
      <c r="B57">
        <v>58.252409999999998</v>
      </c>
      <c r="C57">
        <v>108.1001</v>
      </c>
      <c r="D57">
        <f t="shared" si="6"/>
        <v>49.84769</v>
      </c>
      <c r="E57" t="s">
        <v>218</v>
      </c>
      <c r="F57">
        <v>27.86400428571428</v>
      </c>
      <c r="G57" s="86">
        <f t="shared" si="1"/>
        <v>38201</v>
      </c>
      <c r="H57">
        <f t="shared" si="2"/>
        <v>67.265010462857106</v>
      </c>
    </row>
    <row r="58" spans="1:8" x14ac:dyDescent="0.55000000000000004">
      <c r="A58" s="25">
        <v>38232</v>
      </c>
      <c r="B58">
        <v>80.785500000000013</v>
      </c>
      <c r="C58">
        <v>37.899900000000002</v>
      </c>
      <c r="D58">
        <f t="shared" si="6"/>
        <v>-42.885600000000011</v>
      </c>
      <c r="E58" t="s">
        <v>219</v>
      </c>
      <c r="F58">
        <v>-26.162430000000001</v>
      </c>
      <c r="G58" s="86">
        <f t="shared" si="1"/>
        <v>38232</v>
      </c>
      <c r="H58">
        <f t="shared" si="2"/>
        <v>50.541840462857095</v>
      </c>
    </row>
    <row r="59" spans="1:8" x14ac:dyDescent="0.55000000000000004">
      <c r="A59" s="25">
        <v>38262</v>
      </c>
      <c r="B59">
        <v>96.666679999999999</v>
      </c>
      <c r="C59">
        <v>26.799996</v>
      </c>
      <c r="D59">
        <f t="shared" si="6"/>
        <v>-69.866683999999992</v>
      </c>
      <c r="E59" t="s">
        <v>220</v>
      </c>
      <c r="F59">
        <v>-57.00909</v>
      </c>
      <c r="G59" s="86">
        <f t="shared" si="1"/>
        <v>38262</v>
      </c>
      <c r="H59">
        <f t="shared" si="2"/>
        <v>37.684246462857104</v>
      </c>
    </row>
    <row r="60" spans="1:8" x14ac:dyDescent="0.55000000000000004">
      <c r="A60" s="25">
        <v>38293</v>
      </c>
      <c r="B60">
        <v>58.357500000000002</v>
      </c>
      <c r="C60">
        <v>24.6</v>
      </c>
      <c r="D60">
        <f t="shared" si="6"/>
        <v>-33.7575</v>
      </c>
      <c r="E60" t="s">
        <v>221</v>
      </c>
      <c r="F60">
        <v>-34.912025714285718</v>
      </c>
      <c r="G60" s="86">
        <f t="shared" si="1"/>
        <v>38293</v>
      </c>
      <c r="H60">
        <f t="shared" si="2"/>
        <v>38.838772177142822</v>
      </c>
    </row>
    <row r="61" spans="1:8" x14ac:dyDescent="0.55000000000000004">
      <c r="A61" s="25">
        <v>38323</v>
      </c>
      <c r="B61">
        <v>38.00197</v>
      </c>
      <c r="C61">
        <v>45.000840000000004</v>
      </c>
      <c r="D61">
        <f t="shared" si="6"/>
        <v>6.9988700000000037</v>
      </c>
      <c r="E61" t="s">
        <v>222</v>
      </c>
      <c r="F61">
        <v>-17.946062857142852</v>
      </c>
      <c r="G61" s="86">
        <f t="shared" si="1"/>
        <v>38323</v>
      </c>
      <c r="H61">
        <f t="shared" si="2"/>
        <v>63.783705034285674</v>
      </c>
    </row>
    <row r="62" spans="1:8" x14ac:dyDescent="0.55000000000000004">
      <c r="A62" s="25">
        <v>38354</v>
      </c>
      <c r="B62">
        <v>23.164905000000001</v>
      </c>
      <c r="C62">
        <v>0.10000011</v>
      </c>
      <c r="D62">
        <f>C62-B62</f>
        <v>-23.064904890000001</v>
      </c>
      <c r="E62" t="s">
        <v>211</v>
      </c>
      <c r="F62">
        <v>-16.846305000000001</v>
      </c>
      <c r="G62" s="86">
        <f t="shared" si="1"/>
        <v>38354</v>
      </c>
      <c r="H62">
        <f t="shared" si="2"/>
        <v>57.565105144285674</v>
      </c>
    </row>
    <row r="63" spans="1:8" x14ac:dyDescent="0.55000000000000004">
      <c r="A63" s="25">
        <v>38384</v>
      </c>
      <c r="B63">
        <v>14.061936000000001</v>
      </c>
      <c r="C63">
        <v>1.7999995999999998</v>
      </c>
      <c r="D63">
        <f t="shared" ref="D63:D73" si="7">C63-B63</f>
        <v>-12.261936400000002</v>
      </c>
      <c r="E63" t="s">
        <v>212</v>
      </c>
      <c r="F63">
        <v>-9.877597500000002</v>
      </c>
      <c r="G63" s="86">
        <f t="shared" si="1"/>
        <v>38384</v>
      </c>
      <c r="H63">
        <f t="shared" si="2"/>
        <v>55.180766244285678</v>
      </c>
    </row>
    <row r="64" spans="1:8" x14ac:dyDescent="0.55000000000000004">
      <c r="A64" s="25">
        <v>38413</v>
      </c>
      <c r="B64">
        <v>16.010632000000001</v>
      </c>
      <c r="C64">
        <v>17.800014000000001</v>
      </c>
      <c r="D64">
        <f t="shared" si="7"/>
        <v>1.7893819999999998</v>
      </c>
      <c r="E64" t="s">
        <v>213</v>
      </c>
      <c r="F64">
        <v>-3.8404837500000024</v>
      </c>
      <c r="G64" s="86">
        <f t="shared" si="1"/>
        <v>38413</v>
      </c>
      <c r="H64">
        <f t="shared" si="2"/>
        <v>60.810631994285679</v>
      </c>
    </row>
    <row r="65" spans="1:8" x14ac:dyDescent="0.55000000000000004">
      <c r="A65" s="25">
        <v>38444</v>
      </c>
      <c r="B65">
        <v>35.911199999999994</v>
      </c>
      <c r="C65">
        <v>24.200009999999999</v>
      </c>
      <c r="D65">
        <f t="shared" si="7"/>
        <v>-11.711189999999995</v>
      </c>
      <c r="E65" t="s">
        <v>214</v>
      </c>
      <c r="F65">
        <v>0.99378624999999587</v>
      </c>
      <c r="G65" s="86">
        <f t="shared" si="1"/>
        <v>38444</v>
      </c>
      <c r="H65">
        <f t="shared" si="2"/>
        <v>48.105655744285684</v>
      </c>
    </row>
    <row r="66" spans="1:8" x14ac:dyDescent="0.55000000000000004">
      <c r="A66" s="25">
        <v>38474</v>
      </c>
      <c r="B66">
        <v>36.506530000000005</v>
      </c>
      <c r="C66">
        <v>139.19991999999999</v>
      </c>
      <c r="D66">
        <f t="shared" si="7"/>
        <v>102.69338999999999</v>
      </c>
      <c r="E66" t="s">
        <v>215</v>
      </c>
      <c r="F66">
        <v>45.34754375</v>
      </c>
      <c r="G66" s="86">
        <f t="shared" si="1"/>
        <v>38474</v>
      </c>
      <c r="H66">
        <f t="shared" si="2"/>
        <v>105.45150199428568</v>
      </c>
    </row>
    <row r="67" spans="1:8" x14ac:dyDescent="0.55000000000000004">
      <c r="A67" s="25">
        <v>38505</v>
      </c>
      <c r="B67">
        <v>34.052100000000003</v>
      </c>
      <c r="C67">
        <v>163.29990000000001</v>
      </c>
      <c r="D67">
        <f t="shared" si="7"/>
        <v>129.24780000000001</v>
      </c>
      <c r="E67" t="s">
        <v>216</v>
      </c>
      <c r="F67">
        <v>34.52662875</v>
      </c>
      <c r="G67" s="86">
        <f t="shared" si="1"/>
        <v>38505</v>
      </c>
      <c r="H67">
        <f t="shared" si="2"/>
        <v>200.1726732442857</v>
      </c>
    </row>
    <row r="68" spans="1:8" x14ac:dyDescent="0.55000000000000004">
      <c r="A68" s="25">
        <v>38535</v>
      </c>
      <c r="B68">
        <v>52.305370000000003</v>
      </c>
      <c r="C68">
        <v>41.500009999999996</v>
      </c>
      <c r="D68">
        <f t="shared" si="7"/>
        <v>-10.805360000000007</v>
      </c>
      <c r="E68" t="s">
        <v>217</v>
      </c>
      <c r="F68">
        <v>71.414827142857149</v>
      </c>
      <c r="G68" s="86">
        <f t="shared" ref="G68:G131" si="8">A68</f>
        <v>38535</v>
      </c>
      <c r="H68">
        <f t="shared" ref="H68:H131" si="9">D68-F68+H67</f>
        <v>117.95248610142855</v>
      </c>
    </row>
    <row r="69" spans="1:8" x14ac:dyDescent="0.55000000000000004">
      <c r="A69" s="25">
        <v>38566</v>
      </c>
      <c r="B69">
        <v>57.075960000000002</v>
      </c>
      <c r="C69">
        <v>110.39999</v>
      </c>
      <c r="D69">
        <f t="shared" si="7"/>
        <v>53.32403</v>
      </c>
      <c r="E69" t="s">
        <v>218</v>
      </c>
      <c r="F69">
        <v>27.86400428571428</v>
      </c>
      <c r="G69" s="86">
        <f t="shared" si="8"/>
        <v>38566</v>
      </c>
      <c r="H69">
        <f t="shared" si="9"/>
        <v>143.41251181571425</v>
      </c>
    </row>
    <row r="70" spans="1:8" x14ac:dyDescent="0.55000000000000004">
      <c r="A70" s="25">
        <v>38597</v>
      </c>
      <c r="B70">
        <v>79.48769999999999</v>
      </c>
      <c r="C70">
        <v>68.000100000000003</v>
      </c>
      <c r="D70">
        <f t="shared" si="7"/>
        <v>-11.487599999999986</v>
      </c>
      <c r="E70" t="s">
        <v>219</v>
      </c>
      <c r="F70">
        <v>-26.162430000000001</v>
      </c>
      <c r="G70" s="86">
        <f t="shared" si="8"/>
        <v>38597</v>
      </c>
      <c r="H70">
        <f t="shared" si="9"/>
        <v>158.08734181571427</v>
      </c>
    </row>
    <row r="71" spans="1:8" x14ac:dyDescent="0.55000000000000004">
      <c r="A71" s="25">
        <v>38627</v>
      </c>
      <c r="B71">
        <v>91.813940000000002</v>
      </c>
      <c r="C71">
        <v>35.400139999999993</v>
      </c>
      <c r="D71">
        <f t="shared" si="7"/>
        <v>-56.413800000000009</v>
      </c>
      <c r="E71" t="s">
        <v>220</v>
      </c>
      <c r="F71">
        <v>-57.00909</v>
      </c>
      <c r="G71" s="86">
        <f t="shared" si="8"/>
        <v>38627</v>
      </c>
      <c r="H71">
        <f t="shared" si="9"/>
        <v>158.68263181571427</v>
      </c>
    </row>
    <row r="72" spans="1:8" x14ac:dyDescent="0.55000000000000004">
      <c r="A72" s="25">
        <v>38658</v>
      </c>
      <c r="B72">
        <v>75.74730000000001</v>
      </c>
      <c r="C72">
        <v>9.3999900000000007</v>
      </c>
      <c r="D72">
        <f t="shared" si="7"/>
        <v>-66.347310000000007</v>
      </c>
      <c r="E72" t="s">
        <v>221</v>
      </c>
      <c r="F72">
        <v>-34.912025714285718</v>
      </c>
      <c r="G72" s="86">
        <f t="shared" si="8"/>
        <v>38658</v>
      </c>
      <c r="H72">
        <f t="shared" si="9"/>
        <v>127.24734752999998</v>
      </c>
    </row>
    <row r="73" spans="1:8" x14ac:dyDescent="0.55000000000000004">
      <c r="A73" s="25">
        <v>38688</v>
      </c>
      <c r="B73">
        <v>40.988199999999992</v>
      </c>
      <c r="C73">
        <v>52.402709999999999</v>
      </c>
      <c r="D73">
        <f t="shared" si="7"/>
        <v>11.414510000000007</v>
      </c>
      <c r="E73" t="s">
        <v>222</v>
      </c>
      <c r="F73">
        <v>-17.946062857142852</v>
      </c>
      <c r="G73" s="86">
        <f t="shared" si="8"/>
        <v>38688</v>
      </c>
      <c r="H73">
        <f t="shared" si="9"/>
        <v>156.60792038714285</v>
      </c>
    </row>
    <row r="74" spans="1:8" x14ac:dyDescent="0.55000000000000004">
      <c r="A74" s="25">
        <v>38719</v>
      </c>
      <c r="B74">
        <v>58.007820000000002</v>
      </c>
      <c r="C74">
        <v>80.099969999999999</v>
      </c>
      <c r="D74">
        <f>C74-B74</f>
        <v>22.092149999999997</v>
      </c>
      <c r="E74" t="s">
        <v>211</v>
      </c>
      <c r="F74">
        <v>-16.846305000000001</v>
      </c>
      <c r="G74" s="86">
        <f t="shared" si="8"/>
        <v>38719</v>
      </c>
      <c r="H74">
        <f t="shared" si="9"/>
        <v>195.54637538714286</v>
      </c>
    </row>
    <row r="75" spans="1:8" x14ac:dyDescent="0.55000000000000004">
      <c r="A75" s="25">
        <v>38749</v>
      </c>
      <c r="B75">
        <v>50.096760000000003</v>
      </c>
      <c r="C75">
        <v>12.700016</v>
      </c>
      <c r="D75">
        <f t="shared" ref="D75:D85" si="10">C75-B75</f>
        <v>-37.396744000000005</v>
      </c>
      <c r="E75" t="s">
        <v>212</v>
      </c>
      <c r="F75">
        <v>-9.877597500000002</v>
      </c>
      <c r="G75" s="86">
        <f t="shared" si="8"/>
        <v>38749</v>
      </c>
      <c r="H75">
        <f t="shared" si="9"/>
        <v>168.02722888714285</v>
      </c>
    </row>
    <row r="76" spans="1:8" x14ac:dyDescent="0.55000000000000004">
      <c r="A76" s="25">
        <v>38778</v>
      </c>
      <c r="B76">
        <v>30.496839000000001</v>
      </c>
      <c r="C76">
        <v>0.30000001999999998</v>
      </c>
      <c r="D76">
        <f t="shared" si="10"/>
        <v>-30.196838980000003</v>
      </c>
      <c r="E76" t="s">
        <v>213</v>
      </c>
      <c r="F76">
        <v>-3.8404837500000024</v>
      </c>
      <c r="G76" s="86">
        <f t="shared" si="8"/>
        <v>38778</v>
      </c>
      <c r="H76">
        <f t="shared" si="9"/>
        <v>141.67087365714286</v>
      </c>
    </row>
    <row r="77" spans="1:8" x14ac:dyDescent="0.55000000000000004">
      <c r="A77" s="25">
        <v>38809</v>
      </c>
      <c r="B77">
        <v>24.72936</v>
      </c>
      <c r="C77">
        <v>18.099989999999998</v>
      </c>
      <c r="D77">
        <f t="shared" si="10"/>
        <v>-6.6293700000000015</v>
      </c>
      <c r="E77" t="s">
        <v>214</v>
      </c>
      <c r="F77">
        <v>0.99378624999999587</v>
      </c>
      <c r="G77" s="86">
        <f t="shared" si="8"/>
        <v>38809</v>
      </c>
      <c r="H77">
        <f t="shared" si="9"/>
        <v>134.04771740714287</v>
      </c>
    </row>
    <row r="78" spans="1:8" x14ac:dyDescent="0.55000000000000004">
      <c r="A78" s="25">
        <v>38839</v>
      </c>
      <c r="B78">
        <v>30.332073999999999</v>
      </c>
      <c r="C78">
        <v>30.000001999999999</v>
      </c>
      <c r="D78">
        <f t="shared" si="10"/>
        <v>-0.33207200000000014</v>
      </c>
      <c r="E78" t="s">
        <v>215</v>
      </c>
      <c r="F78">
        <v>45.34754375</v>
      </c>
      <c r="G78" s="86">
        <f t="shared" si="8"/>
        <v>38839</v>
      </c>
      <c r="H78">
        <f t="shared" si="9"/>
        <v>88.368101657142873</v>
      </c>
    </row>
    <row r="79" spans="1:8" x14ac:dyDescent="0.55000000000000004">
      <c r="A79" s="25">
        <v>38870</v>
      </c>
      <c r="B79">
        <v>37.532700000000006</v>
      </c>
      <c r="C79">
        <v>28.899989999999999</v>
      </c>
      <c r="D79">
        <f t="shared" si="10"/>
        <v>-8.6327100000000065</v>
      </c>
      <c r="E79" t="s">
        <v>216</v>
      </c>
      <c r="F79">
        <v>34.52662875</v>
      </c>
      <c r="G79" s="86">
        <f t="shared" si="8"/>
        <v>38870</v>
      </c>
      <c r="H79">
        <f t="shared" si="9"/>
        <v>45.208762907142869</v>
      </c>
    </row>
    <row r="80" spans="1:8" x14ac:dyDescent="0.55000000000000004">
      <c r="A80" s="25">
        <v>38900</v>
      </c>
      <c r="B80">
        <v>38.772939999999998</v>
      </c>
      <c r="C80">
        <v>67.699969999999993</v>
      </c>
      <c r="D80">
        <f t="shared" si="10"/>
        <v>28.927029999999995</v>
      </c>
      <c r="E80" t="s">
        <v>217</v>
      </c>
      <c r="F80">
        <v>71.414827142857149</v>
      </c>
      <c r="G80" s="86">
        <f t="shared" si="8"/>
        <v>38900</v>
      </c>
      <c r="H80">
        <f t="shared" si="9"/>
        <v>2.7209657642857152</v>
      </c>
    </row>
    <row r="81" spans="1:8" x14ac:dyDescent="0.55000000000000004">
      <c r="A81" s="25">
        <v>38931</v>
      </c>
      <c r="B81">
        <v>56.784869999999998</v>
      </c>
      <c r="C81">
        <v>89.799869999999999</v>
      </c>
      <c r="D81">
        <f t="shared" si="10"/>
        <v>33.015000000000001</v>
      </c>
      <c r="E81" t="s">
        <v>218</v>
      </c>
      <c r="F81">
        <v>27.86400428571428</v>
      </c>
      <c r="G81" s="86">
        <f t="shared" si="8"/>
        <v>38931</v>
      </c>
      <c r="H81">
        <f t="shared" si="9"/>
        <v>7.8719614785714356</v>
      </c>
    </row>
    <row r="82" spans="1:8" x14ac:dyDescent="0.55000000000000004">
      <c r="A82" s="25">
        <v>38962</v>
      </c>
      <c r="B82">
        <v>82.7577</v>
      </c>
      <c r="C82">
        <v>65.499899999999997</v>
      </c>
      <c r="D82">
        <f t="shared" si="10"/>
        <v>-17.257800000000003</v>
      </c>
      <c r="E82" t="s">
        <v>219</v>
      </c>
      <c r="F82">
        <v>-26.162430000000001</v>
      </c>
      <c r="G82" s="86">
        <f t="shared" si="8"/>
        <v>38962</v>
      </c>
      <c r="H82">
        <f t="shared" si="9"/>
        <v>16.776591478571433</v>
      </c>
    </row>
    <row r="83" spans="1:8" x14ac:dyDescent="0.55000000000000004">
      <c r="A83" s="25">
        <v>38992</v>
      </c>
      <c r="B83">
        <v>83.218260000000001</v>
      </c>
      <c r="C83">
        <v>17.999994999999998</v>
      </c>
      <c r="D83">
        <f t="shared" si="10"/>
        <v>-65.218265000000002</v>
      </c>
      <c r="E83" t="s">
        <v>220</v>
      </c>
      <c r="F83">
        <v>-57.00909</v>
      </c>
      <c r="G83" s="86">
        <f t="shared" si="8"/>
        <v>38992</v>
      </c>
      <c r="H83">
        <f t="shared" si="9"/>
        <v>8.5674164785714311</v>
      </c>
    </row>
    <row r="84" spans="1:8" x14ac:dyDescent="0.55000000000000004">
      <c r="A84" s="25">
        <v>39023</v>
      </c>
      <c r="B84">
        <v>34.9161</v>
      </c>
      <c r="C84">
        <v>16.100010000000001</v>
      </c>
      <c r="D84">
        <f t="shared" si="10"/>
        <v>-18.816089999999999</v>
      </c>
      <c r="E84" t="s">
        <v>221</v>
      </c>
      <c r="F84">
        <v>-34.912025714285718</v>
      </c>
      <c r="G84" s="86">
        <f t="shared" si="8"/>
        <v>39023</v>
      </c>
      <c r="H84">
        <f t="shared" si="9"/>
        <v>24.66335219285715</v>
      </c>
    </row>
    <row r="85" spans="1:8" x14ac:dyDescent="0.55000000000000004">
      <c r="A85" s="25">
        <v>39053</v>
      </c>
      <c r="B85">
        <v>22.650707999999998</v>
      </c>
      <c r="C85">
        <v>36.877290000000002</v>
      </c>
      <c r="D85">
        <f t="shared" si="10"/>
        <v>14.226582000000004</v>
      </c>
      <c r="E85" t="s">
        <v>222</v>
      </c>
      <c r="F85">
        <v>-17.946062857142852</v>
      </c>
      <c r="G85" s="86">
        <f t="shared" si="8"/>
        <v>39053</v>
      </c>
      <c r="H85">
        <f t="shared" si="9"/>
        <v>56.835997050000003</v>
      </c>
    </row>
    <row r="86" spans="1:8" x14ac:dyDescent="0.55000000000000004">
      <c r="A86" s="25">
        <v>39084</v>
      </c>
      <c r="B86">
        <v>19.409844000000003</v>
      </c>
      <c r="C86">
        <v>11.799994999999999</v>
      </c>
      <c r="D86">
        <f>C86-B86</f>
        <v>-7.6098490000000041</v>
      </c>
      <c r="E86" t="s">
        <v>211</v>
      </c>
      <c r="F86">
        <v>-16.846305000000001</v>
      </c>
      <c r="G86" s="86">
        <f t="shared" si="8"/>
        <v>39084</v>
      </c>
      <c r="H86">
        <f t="shared" si="9"/>
        <v>66.072453050000007</v>
      </c>
    </row>
    <row r="87" spans="1:8" x14ac:dyDescent="0.55000000000000004">
      <c r="A87" s="25">
        <v>39114</v>
      </c>
      <c r="B87">
        <v>10.252787999999999</v>
      </c>
      <c r="C87">
        <v>1.4</v>
      </c>
      <c r="D87">
        <f t="shared" ref="D87:D97" si="11">C87-B87</f>
        <v>-8.8527879999999985</v>
      </c>
      <c r="E87" t="s">
        <v>212</v>
      </c>
      <c r="F87">
        <v>-9.877597500000002</v>
      </c>
      <c r="G87" s="86">
        <f t="shared" si="8"/>
        <v>39114</v>
      </c>
      <c r="H87">
        <f t="shared" si="9"/>
        <v>67.097262550000011</v>
      </c>
    </row>
    <row r="88" spans="1:8" x14ac:dyDescent="0.55000000000000004">
      <c r="A88" s="25">
        <v>39143</v>
      </c>
      <c r="B88">
        <v>11.177204999999999</v>
      </c>
      <c r="C88">
        <v>5.7000009999999994</v>
      </c>
      <c r="D88">
        <f t="shared" si="11"/>
        <v>-5.4772039999999995</v>
      </c>
      <c r="E88" t="s">
        <v>213</v>
      </c>
      <c r="F88">
        <v>-3.8404837500000024</v>
      </c>
      <c r="G88" s="86">
        <f t="shared" si="8"/>
        <v>39143</v>
      </c>
      <c r="H88">
        <f t="shared" si="9"/>
        <v>65.460542300000014</v>
      </c>
    </row>
    <row r="89" spans="1:8" x14ac:dyDescent="0.55000000000000004">
      <c r="A89" s="25">
        <v>39174</v>
      </c>
      <c r="B89">
        <v>15.571079999999998</v>
      </c>
      <c r="C89">
        <v>34.200000000000003</v>
      </c>
      <c r="D89">
        <f t="shared" si="11"/>
        <v>18.628920000000004</v>
      </c>
      <c r="E89" t="s">
        <v>214</v>
      </c>
      <c r="F89">
        <v>0.99378624999999587</v>
      </c>
      <c r="G89" s="86">
        <f t="shared" si="8"/>
        <v>39174</v>
      </c>
      <c r="H89">
        <f t="shared" si="9"/>
        <v>83.095676050000023</v>
      </c>
    </row>
    <row r="90" spans="1:8" x14ac:dyDescent="0.55000000000000004">
      <c r="A90" s="25">
        <v>39204</v>
      </c>
      <c r="B90">
        <v>33.684909999999995</v>
      </c>
      <c r="C90">
        <v>48.099909999999994</v>
      </c>
      <c r="D90">
        <f t="shared" si="11"/>
        <v>14.414999999999999</v>
      </c>
      <c r="E90" t="s">
        <v>215</v>
      </c>
      <c r="F90">
        <v>45.34754375</v>
      </c>
      <c r="G90" s="86">
        <f t="shared" si="8"/>
        <v>39204</v>
      </c>
      <c r="H90">
        <f t="shared" si="9"/>
        <v>52.163132300000022</v>
      </c>
    </row>
    <row r="91" spans="1:8" x14ac:dyDescent="0.55000000000000004">
      <c r="A91" s="25">
        <v>39235</v>
      </c>
      <c r="B91">
        <v>34.974599999999995</v>
      </c>
      <c r="C91">
        <v>52.100100000000005</v>
      </c>
      <c r="D91">
        <f t="shared" si="11"/>
        <v>17.125500000000009</v>
      </c>
      <c r="E91" t="s">
        <v>216</v>
      </c>
      <c r="F91">
        <v>34.52662875</v>
      </c>
      <c r="G91" s="86">
        <f t="shared" si="8"/>
        <v>39235</v>
      </c>
      <c r="H91">
        <f t="shared" si="9"/>
        <v>34.762003550000031</v>
      </c>
    </row>
    <row r="92" spans="1:8" x14ac:dyDescent="0.55000000000000004">
      <c r="A92" s="25">
        <v>39265</v>
      </c>
      <c r="B92">
        <v>35.29195</v>
      </c>
      <c r="C92">
        <v>124.50002999999998</v>
      </c>
      <c r="D92">
        <f t="shared" si="11"/>
        <v>89.208079999999981</v>
      </c>
      <c r="E92" t="s">
        <v>217</v>
      </c>
      <c r="F92">
        <v>71.414827142857149</v>
      </c>
      <c r="G92" s="86">
        <f t="shared" si="8"/>
        <v>39265</v>
      </c>
      <c r="H92">
        <f t="shared" si="9"/>
        <v>52.555256407142863</v>
      </c>
    </row>
    <row r="93" spans="1:8" x14ac:dyDescent="0.55000000000000004">
      <c r="A93" s="25">
        <v>39296</v>
      </c>
      <c r="B93">
        <v>59.828760000000003</v>
      </c>
      <c r="C93">
        <v>83.3001</v>
      </c>
      <c r="D93">
        <f t="shared" si="11"/>
        <v>23.471339999999998</v>
      </c>
      <c r="E93" t="s">
        <v>218</v>
      </c>
      <c r="F93">
        <v>27.86400428571428</v>
      </c>
      <c r="G93" s="86">
        <f t="shared" si="8"/>
        <v>39296</v>
      </c>
      <c r="H93">
        <f t="shared" si="9"/>
        <v>48.162592121428581</v>
      </c>
    </row>
    <row r="94" spans="1:8" x14ac:dyDescent="0.55000000000000004">
      <c r="A94" s="25">
        <v>39327</v>
      </c>
      <c r="B94">
        <v>78.364200000000011</v>
      </c>
      <c r="C94">
        <v>56.600099999999998</v>
      </c>
      <c r="D94">
        <f t="shared" si="11"/>
        <v>-21.764100000000013</v>
      </c>
      <c r="E94" t="s">
        <v>219</v>
      </c>
      <c r="F94">
        <v>-26.162430000000001</v>
      </c>
      <c r="G94" s="86">
        <f t="shared" si="8"/>
        <v>39327</v>
      </c>
      <c r="H94">
        <f t="shared" si="9"/>
        <v>52.560922121428568</v>
      </c>
    </row>
    <row r="95" spans="1:8" x14ac:dyDescent="0.55000000000000004">
      <c r="A95" s="25">
        <v>39357</v>
      </c>
      <c r="B95">
        <v>93.025419999999997</v>
      </c>
      <c r="C95">
        <v>25.799998000000002</v>
      </c>
      <c r="D95">
        <f t="shared" si="11"/>
        <v>-67.225421999999995</v>
      </c>
      <c r="E95" t="s">
        <v>220</v>
      </c>
      <c r="F95">
        <v>-57.00909</v>
      </c>
      <c r="G95" s="86">
        <f t="shared" si="8"/>
        <v>39357</v>
      </c>
      <c r="H95">
        <f t="shared" si="9"/>
        <v>42.344590121428574</v>
      </c>
    </row>
    <row r="96" spans="1:8" x14ac:dyDescent="0.55000000000000004">
      <c r="A96" s="25">
        <v>39388</v>
      </c>
      <c r="B96">
        <v>44.006999999999998</v>
      </c>
      <c r="C96">
        <v>2.0000010000000001</v>
      </c>
      <c r="D96">
        <f t="shared" si="11"/>
        <v>-42.006999</v>
      </c>
      <c r="E96" t="s">
        <v>221</v>
      </c>
      <c r="F96">
        <v>-34.912025714285718</v>
      </c>
      <c r="G96" s="86">
        <f t="shared" si="8"/>
        <v>39388</v>
      </c>
      <c r="H96">
        <f t="shared" si="9"/>
        <v>35.249616835714292</v>
      </c>
    </row>
    <row r="97" spans="1:8" x14ac:dyDescent="0.55000000000000004">
      <c r="A97" s="25">
        <v>39418</v>
      </c>
      <c r="B97">
        <v>38.176189999999998</v>
      </c>
      <c r="C97">
        <v>41.692830000000001</v>
      </c>
      <c r="D97">
        <f t="shared" si="11"/>
        <v>3.5166400000000024</v>
      </c>
      <c r="E97" t="s">
        <v>222</v>
      </c>
      <c r="F97">
        <v>-17.946062857142852</v>
      </c>
      <c r="G97" s="86">
        <f t="shared" si="8"/>
        <v>39418</v>
      </c>
      <c r="H97">
        <f t="shared" si="9"/>
        <v>56.71231969285715</v>
      </c>
    </row>
    <row r="98" spans="1:8" x14ac:dyDescent="0.55000000000000004">
      <c r="A98" s="25">
        <v>39449</v>
      </c>
      <c r="B98">
        <v>26.490864000000002</v>
      </c>
      <c r="C98">
        <v>0</v>
      </c>
      <c r="D98">
        <f>C98-B98</f>
        <v>-26.490864000000002</v>
      </c>
      <c r="E98" t="s">
        <v>211</v>
      </c>
      <c r="F98">
        <v>-16.846305000000001</v>
      </c>
      <c r="G98" s="86">
        <f t="shared" si="8"/>
        <v>39449</v>
      </c>
      <c r="H98">
        <f t="shared" si="9"/>
        <v>47.067760692857149</v>
      </c>
    </row>
    <row r="99" spans="1:8" x14ac:dyDescent="0.55000000000000004">
      <c r="A99" s="25">
        <v>39479</v>
      </c>
      <c r="B99">
        <v>25.551494000000002</v>
      </c>
      <c r="C99">
        <v>25.49999</v>
      </c>
      <c r="D99">
        <f t="shared" ref="D99:D109" si="12">C99-B99</f>
        <v>-5.1504000000001326E-2</v>
      </c>
      <c r="E99" t="s">
        <v>212</v>
      </c>
      <c r="F99">
        <v>-9.877597500000002</v>
      </c>
      <c r="G99" s="86">
        <f t="shared" si="8"/>
        <v>39479</v>
      </c>
      <c r="H99">
        <f t="shared" si="9"/>
        <v>56.893854192857148</v>
      </c>
    </row>
    <row r="100" spans="1:8" x14ac:dyDescent="0.55000000000000004">
      <c r="A100" s="25">
        <v>39509</v>
      </c>
      <c r="B100">
        <v>15.878262000000001</v>
      </c>
      <c r="C100">
        <v>15.5</v>
      </c>
      <c r="D100">
        <f t="shared" si="12"/>
        <v>-0.37826200000000121</v>
      </c>
      <c r="E100" t="s">
        <v>213</v>
      </c>
      <c r="F100">
        <v>-3.8404837500000024</v>
      </c>
      <c r="G100" s="86">
        <f t="shared" si="8"/>
        <v>39509</v>
      </c>
      <c r="H100">
        <f t="shared" si="9"/>
        <v>60.356075942857146</v>
      </c>
    </row>
    <row r="101" spans="1:8" x14ac:dyDescent="0.55000000000000004">
      <c r="A101" s="25">
        <v>39540</v>
      </c>
      <c r="B101">
        <v>30.988800000000005</v>
      </c>
      <c r="C101">
        <v>47.4</v>
      </c>
      <c r="D101">
        <f t="shared" si="12"/>
        <v>16.411199999999994</v>
      </c>
      <c r="E101" t="s">
        <v>214</v>
      </c>
      <c r="F101">
        <v>0.99378624999999587</v>
      </c>
      <c r="G101" s="86">
        <f t="shared" si="8"/>
        <v>39540</v>
      </c>
      <c r="H101">
        <f t="shared" si="9"/>
        <v>75.77348969285714</v>
      </c>
    </row>
    <row r="102" spans="1:8" x14ac:dyDescent="0.55000000000000004">
      <c r="A102" s="25">
        <v>39570</v>
      </c>
      <c r="B102">
        <v>36.221330000000002</v>
      </c>
      <c r="C102">
        <v>52.500050000000002</v>
      </c>
      <c r="D102">
        <f t="shared" si="12"/>
        <v>16.27872</v>
      </c>
      <c r="E102" t="s">
        <v>215</v>
      </c>
      <c r="F102">
        <v>45.34754375</v>
      </c>
      <c r="G102" s="86">
        <f t="shared" si="8"/>
        <v>39570</v>
      </c>
      <c r="H102">
        <f t="shared" si="9"/>
        <v>46.70466594285714</v>
      </c>
    </row>
    <row r="103" spans="1:8" x14ac:dyDescent="0.55000000000000004">
      <c r="A103" s="25">
        <v>39601</v>
      </c>
      <c r="B103">
        <v>36.144299999999994</v>
      </c>
      <c r="C103">
        <v>80.900100000000009</v>
      </c>
      <c r="D103">
        <f t="shared" si="12"/>
        <v>44.755800000000015</v>
      </c>
      <c r="E103" t="s">
        <v>216</v>
      </c>
      <c r="F103">
        <v>34.52662875</v>
      </c>
      <c r="G103" s="86">
        <f t="shared" si="8"/>
        <v>39601</v>
      </c>
      <c r="H103">
        <f t="shared" si="9"/>
        <v>56.933837192857155</v>
      </c>
    </row>
    <row r="104" spans="1:8" x14ac:dyDescent="0.55000000000000004">
      <c r="A104" s="25">
        <v>39631</v>
      </c>
      <c r="B104">
        <v>34.439450000000001</v>
      </c>
      <c r="C104">
        <v>169.29998999999998</v>
      </c>
      <c r="D104">
        <f t="shared" si="12"/>
        <v>134.86053999999999</v>
      </c>
      <c r="E104" t="s">
        <v>217</v>
      </c>
      <c r="F104">
        <v>71.414827142857149</v>
      </c>
      <c r="G104" s="86">
        <f t="shared" si="8"/>
        <v>39631</v>
      </c>
      <c r="H104">
        <f t="shared" si="9"/>
        <v>120.37955004999999</v>
      </c>
    </row>
    <row r="105" spans="1:8" x14ac:dyDescent="0.55000000000000004">
      <c r="A105" s="25">
        <v>39662</v>
      </c>
      <c r="B105">
        <v>73.587800000000016</v>
      </c>
      <c r="C105">
        <v>19.399986000000002</v>
      </c>
      <c r="D105">
        <f t="shared" si="12"/>
        <v>-54.187814000000017</v>
      </c>
      <c r="E105" t="s">
        <v>218</v>
      </c>
      <c r="F105">
        <v>27.86400428571428</v>
      </c>
      <c r="G105" s="86">
        <f t="shared" si="8"/>
        <v>39662</v>
      </c>
      <c r="H105">
        <f t="shared" si="9"/>
        <v>38.327731764285701</v>
      </c>
    </row>
    <row r="106" spans="1:8" x14ac:dyDescent="0.55000000000000004">
      <c r="A106" s="25">
        <v>39693</v>
      </c>
      <c r="B106">
        <v>74.317499999999995</v>
      </c>
      <c r="C106">
        <v>55.899900000000002</v>
      </c>
      <c r="D106">
        <f t="shared" si="12"/>
        <v>-18.417599999999993</v>
      </c>
      <c r="E106" t="s">
        <v>219</v>
      </c>
      <c r="F106">
        <v>-26.162430000000001</v>
      </c>
      <c r="G106" s="86">
        <f t="shared" si="8"/>
        <v>39693</v>
      </c>
      <c r="H106">
        <f t="shared" si="9"/>
        <v>46.072561764285709</v>
      </c>
    </row>
    <row r="107" spans="1:8" x14ac:dyDescent="0.55000000000000004">
      <c r="A107" s="25">
        <v>39723</v>
      </c>
      <c r="B107">
        <v>86.435130000000001</v>
      </c>
      <c r="C107">
        <v>53.000080000000004</v>
      </c>
      <c r="D107">
        <f t="shared" si="12"/>
        <v>-33.435049999999997</v>
      </c>
      <c r="E107" t="s">
        <v>220</v>
      </c>
      <c r="F107">
        <v>-57.00909</v>
      </c>
      <c r="G107" s="86">
        <f t="shared" si="8"/>
        <v>39723</v>
      </c>
      <c r="H107">
        <f t="shared" si="9"/>
        <v>69.64660176428572</v>
      </c>
    </row>
    <row r="108" spans="1:8" x14ac:dyDescent="0.55000000000000004">
      <c r="A108" s="25">
        <v>39754</v>
      </c>
      <c r="B108">
        <v>69.549000000000007</v>
      </c>
      <c r="C108">
        <v>33.6</v>
      </c>
      <c r="D108">
        <f t="shared" si="12"/>
        <v>-35.949000000000005</v>
      </c>
      <c r="E108" t="s">
        <v>221</v>
      </c>
      <c r="F108">
        <v>-34.912025714285718</v>
      </c>
      <c r="G108" s="86">
        <f t="shared" si="8"/>
        <v>39754</v>
      </c>
      <c r="H108">
        <f t="shared" si="9"/>
        <v>68.60962747857144</v>
      </c>
    </row>
    <row r="109" spans="1:8" x14ac:dyDescent="0.55000000000000004">
      <c r="A109" s="25">
        <v>39784</v>
      </c>
      <c r="B109">
        <v>44.993090000000009</v>
      </c>
      <c r="C109">
        <v>47.465649999999997</v>
      </c>
      <c r="D109">
        <f t="shared" si="12"/>
        <v>2.4725599999999872</v>
      </c>
      <c r="E109" t="s">
        <v>222</v>
      </c>
      <c r="F109">
        <v>-17.946062857142852</v>
      </c>
      <c r="G109" s="86">
        <f t="shared" si="8"/>
        <v>39784</v>
      </c>
      <c r="H109">
        <f t="shared" si="9"/>
        <v>89.028250335714276</v>
      </c>
    </row>
    <row r="110" spans="1:8" x14ac:dyDescent="0.55000000000000004">
      <c r="A110" s="25">
        <v>39815</v>
      </c>
      <c r="B110">
        <v>18.491903000000001</v>
      </c>
      <c r="C110">
        <v>0</v>
      </c>
      <c r="D110">
        <f>C110-B110</f>
        <v>-18.491903000000001</v>
      </c>
      <c r="E110" t="s">
        <v>211</v>
      </c>
      <c r="F110">
        <v>-16.846305000000001</v>
      </c>
      <c r="G110" s="86">
        <f t="shared" si="8"/>
        <v>39815</v>
      </c>
      <c r="H110">
        <f t="shared" si="9"/>
        <v>87.382652335714283</v>
      </c>
    </row>
    <row r="111" spans="1:8" x14ac:dyDescent="0.55000000000000004">
      <c r="A111" s="25">
        <v>39845</v>
      </c>
      <c r="B111">
        <v>17.104612000000003</v>
      </c>
      <c r="C111">
        <v>13.399988</v>
      </c>
      <c r="D111">
        <f t="shared" ref="D111:D121" si="13">C111-B111</f>
        <v>-3.7046240000000026</v>
      </c>
      <c r="E111" t="s">
        <v>212</v>
      </c>
      <c r="F111">
        <v>-9.877597500000002</v>
      </c>
      <c r="G111" s="86">
        <f t="shared" si="8"/>
        <v>39845</v>
      </c>
      <c r="H111">
        <f t="shared" si="9"/>
        <v>93.555625835714281</v>
      </c>
    </row>
    <row r="112" spans="1:8" x14ac:dyDescent="0.55000000000000004">
      <c r="A112" s="25">
        <v>39874</v>
      </c>
      <c r="B112">
        <v>13.37557</v>
      </c>
      <c r="C112">
        <v>4.9999900000000004</v>
      </c>
      <c r="D112">
        <f t="shared" si="13"/>
        <v>-8.3755799999999994</v>
      </c>
      <c r="E112" t="s">
        <v>213</v>
      </c>
      <c r="F112">
        <v>-3.8404837500000024</v>
      </c>
      <c r="G112" s="86">
        <f t="shared" si="8"/>
        <v>39874</v>
      </c>
      <c r="H112">
        <f t="shared" si="9"/>
        <v>89.020529585714286</v>
      </c>
    </row>
    <row r="113" spans="1:8" x14ac:dyDescent="0.55000000000000004">
      <c r="A113" s="25">
        <v>39905</v>
      </c>
      <c r="B113">
        <v>13.819049999999999</v>
      </c>
      <c r="C113">
        <v>10.5</v>
      </c>
      <c r="D113">
        <f t="shared" si="13"/>
        <v>-3.3190499999999989</v>
      </c>
      <c r="E113" t="s">
        <v>214</v>
      </c>
      <c r="F113">
        <v>0.99378624999999587</v>
      </c>
      <c r="G113" s="86">
        <f t="shared" si="8"/>
        <v>39905</v>
      </c>
      <c r="H113">
        <f t="shared" si="9"/>
        <v>84.707693335714296</v>
      </c>
    </row>
    <row r="114" spans="1:8" x14ac:dyDescent="0.55000000000000004">
      <c r="A114" s="25">
        <v>39935</v>
      </c>
      <c r="B114">
        <v>18.312505999999999</v>
      </c>
      <c r="C114">
        <v>37.599899999999998</v>
      </c>
      <c r="D114">
        <f t="shared" si="13"/>
        <v>19.287393999999999</v>
      </c>
      <c r="E114" t="s">
        <v>215</v>
      </c>
      <c r="F114">
        <v>45.34754375</v>
      </c>
      <c r="G114" s="86">
        <f t="shared" si="8"/>
        <v>39935</v>
      </c>
      <c r="H114">
        <f t="shared" si="9"/>
        <v>58.647543585714295</v>
      </c>
    </row>
    <row r="115" spans="1:8" x14ac:dyDescent="0.55000000000000004">
      <c r="A115" s="25">
        <v>39966</v>
      </c>
      <c r="B115">
        <v>28.667790000000004</v>
      </c>
      <c r="C115">
        <v>114.3</v>
      </c>
      <c r="D115">
        <f t="shared" si="13"/>
        <v>85.632209999999986</v>
      </c>
      <c r="E115" t="s">
        <v>216</v>
      </c>
      <c r="F115">
        <v>34.52662875</v>
      </c>
      <c r="G115" s="86">
        <f t="shared" si="8"/>
        <v>39966</v>
      </c>
      <c r="H115">
        <f t="shared" si="9"/>
        <v>109.75312483571429</v>
      </c>
    </row>
    <row r="116" spans="1:8" x14ac:dyDescent="0.55000000000000004">
      <c r="A116" s="25">
        <v>39996</v>
      </c>
      <c r="B116">
        <v>43.271349999999998</v>
      </c>
      <c r="C116">
        <v>122.79998999999999</v>
      </c>
      <c r="D116">
        <f t="shared" si="13"/>
        <v>79.528639999999996</v>
      </c>
      <c r="E116" t="s">
        <v>217</v>
      </c>
      <c r="F116">
        <v>71.414827142857149</v>
      </c>
      <c r="G116" s="86">
        <f t="shared" si="8"/>
        <v>39996</v>
      </c>
      <c r="H116">
        <f t="shared" si="9"/>
        <v>117.86693769285714</v>
      </c>
    </row>
    <row r="117" spans="1:8" x14ac:dyDescent="0.55000000000000004">
      <c r="A117" s="25">
        <v>40027</v>
      </c>
      <c r="B117">
        <v>61.441689999999994</v>
      </c>
      <c r="C117">
        <v>111.9999</v>
      </c>
      <c r="D117">
        <f t="shared" si="13"/>
        <v>50.558210000000003</v>
      </c>
      <c r="E117" t="s">
        <v>218</v>
      </c>
      <c r="F117">
        <v>27.86400428571428</v>
      </c>
      <c r="G117" s="86">
        <f t="shared" si="8"/>
        <v>40027</v>
      </c>
      <c r="H117">
        <f t="shared" si="9"/>
        <v>140.56114340714285</v>
      </c>
    </row>
    <row r="118" spans="1:8" x14ac:dyDescent="0.55000000000000004">
      <c r="A118" s="25">
        <v>40058</v>
      </c>
      <c r="B118">
        <v>74.044499999999999</v>
      </c>
      <c r="C118">
        <v>63.699900000000007</v>
      </c>
      <c r="D118">
        <f t="shared" si="13"/>
        <v>-10.344599999999993</v>
      </c>
      <c r="E118" t="s">
        <v>219</v>
      </c>
      <c r="F118">
        <v>-26.162430000000001</v>
      </c>
      <c r="G118" s="86">
        <f t="shared" si="8"/>
        <v>40058</v>
      </c>
      <c r="H118">
        <f t="shared" si="9"/>
        <v>156.37897340714287</v>
      </c>
    </row>
    <row r="119" spans="1:8" x14ac:dyDescent="0.55000000000000004">
      <c r="A119" s="25">
        <v>40088</v>
      </c>
      <c r="B119">
        <v>98.65440000000001</v>
      </c>
      <c r="C119">
        <v>13.299992</v>
      </c>
      <c r="D119">
        <f t="shared" si="13"/>
        <v>-85.354408000000006</v>
      </c>
      <c r="E119" t="s">
        <v>220</v>
      </c>
      <c r="F119">
        <v>-57.00909</v>
      </c>
      <c r="G119" s="86">
        <f t="shared" si="8"/>
        <v>40088</v>
      </c>
      <c r="H119">
        <f t="shared" si="9"/>
        <v>128.03365540714287</v>
      </c>
    </row>
    <row r="120" spans="1:8" x14ac:dyDescent="0.55000000000000004">
      <c r="A120" s="25">
        <v>40119</v>
      </c>
      <c r="B120">
        <v>68.719200000000015</v>
      </c>
      <c r="C120">
        <v>36.099900000000005</v>
      </c>
      <c r="D120">
        <f t="shared" si="13"/>
        <v>-32.61930000000001</v>
      </c>
      <c r="E120" t="s">
        <v>221</v>
      </c>
      <c r="F120">
        <v>-34.912025714285718</v>
      </c>
      <c r="G120" s="86">
        <f t="shared" si="8"/>
        <v>40119</v>
      </c>
      <c r="H120">
        <f t="shared" si="9"/>
        <v>130.3263811214286</v>
      </c>
    </row>
    <row r="121" spans="1:8" x14ac:dyDescent="0.55000000000000004">
      <c r="A121" s="25">
        <v>40149</v>
      </c>
      <c r="B121">
        <v>39.44502</v>
      </c>
      <c r="C121">
        <v>45.124220000000001</v>
      </c>
      <c r="D121">
        <f t="shared" si="13"/>
        <v>5.6792000000000016</v>
      </c>
      <c r="E121" t="s">
        <v>222</v>
      </c>
      <c r="F121">
        <v>-17.946062857142852</v>
      </c>
      <c r="G121" s="86">
        <f t="shared" si="8"/>
        <v>40149</v>
      </c>
      <c r="H121">
        <f t="shared" si="9"/>
        <v>153.95164397857144</v>
      </c>
    </row>
    <row r="122" spans="1:8" x14ac:dyDescent="0.55000000000000004">
      <c r="A122" s="25">
        <v>40180</v>
      </c>
      <c r="B122">
        <v>18.895894999999999</v>
      </c>
      <c r="C122">
        <v>0.19999991</v>
      </c>
      <c r="D122">
        <f>C122-B122</f>
        <v>-18.69589509</v>
      </c>
      <c r="E122" t="s">
        <v>211</v>
      </c>
      <c r="F122">
        <v>-16.846305000000001</v>
      </c>
      <c r="G122" s="86">
        <f t="shared" si="8"/>
        <v>40180</v>
      </c>
      <c r="H122">
        <f t="shared" si="9"/>
        <v>152.10205388857145</v>
      </c>
    </row>
    <row r="123" spans="1:8" x14ac:dyDescent="0.55000000000000004">
      <c r="A123" s="25">
        <v>40210</v>
      </c>
      <c r="B123">
        <v>11.011448</v>
      </c>
      <c r="C123">
        <v>0.79999920000000002</v>
      </c>
      <c r="D123">
        <f t="shared" ref="D123:D133" si="14">C123-B123</f>
        <v>-10.211448799999999</v>
      </c>
      <c r="E123" t="s">
        <v>212</v>
      </c>
      <c r="F123">
        <v>-9.877597500000002</v>
      </c>
      <c r="G123" s="86">
        <f t="shared" si="8"/>
        <v>40210</v>
      </c>
      <c r="H123">
        <f t="shared" si="9"/>
        <v>151.76820258857146</v>
      </c>
    </row>
    <row r="124" spans="1:8" x14ac:dyDescent="0.55000000000000004">
      <c r="A124" s="25">
        <v>40239</v>
      </c>
      <c r="B124">
        <v>24.170885999999999</v>
      </c>
      <c r="C124">
        <v>58.300150000000002</v>
      </c>
      <c r="D124">
        <f t="shared" si="14"/>
        <v>34.129264000000006</v>
      </c>
      <c r="E124" t="s">
        <v>213</v>
      </c>
      <c r="F124">
        <v>-3.8404837500000024</v>
      </c>
      <c r="G124" s="86">
        <f t="shared" si="8"/>
        <v>40239</v>
      </c>
      <c r="H124">
        <f t="shared" si="9"/>
        <v>189.73795033857147</v>
      </c>
    </row>
    <row r="125" spans="1:8" x14ac:dyDescent="0.55000000000000004">
      <c r="A125" s="25">
        <v>40270</v>
      </c>
      <c r="B125">
        <v>40.4313</v>
      </c>
      <c r="C125">
        <v>12.200009999999999</v>
      </c>
      <c r="D125">
        <f t="shared" si="14"/>
        <v>-28.231290000000001</v>
      </c>
      <c r="E125" t="s">
        <v>214</v>
      </c>
      <c r="F125">
        <v>0.99378624999999587</v>
      </c>
      <c r="G125" s="86">
        <f t="shared" si="8"/>
        <v>40270</v>
      </c>
      <c r="H125">
        <f t="shared" si="9"/>
        <v>160.51287408857146</v>
      </c>
    </row>
    <row r="126" spans="1:8" x14ac:dyDescent="0.55000000000000004">
      <c r="A126" s="25">
        <v>40300</v>
      </c>
      <c r="B126">
        <v>33.412730000000003</v>
      </c>
      <c r="C126">
        <v>72.199930000000009</v>
      </c>
      <c r="D126">
        <f t="shared" si="14"/>
        <v>38.787200000000006</v>
      </c>
      <c r="E126" t="s">
        <v>215</v>
      </c>
      <c r="F126">
        <v>45.34754375</v>
      </c>
      <c r="G126" s="86">
        <f t="shared" si="8"/>
        <v>40300</v>
      </c>
      <c r="H126">
        <f t="shared" si="9"/>
        <v>153.95253033857148</v>
      </c>
    </row>
    <row r="127" spans="1:8" x14ac:dyDescent="0.55000000000000004">
      <c r="A127" s="25">
        <v>40331</v>
      </c>
      <c r="B127">
        <v>34.880099999999999</v>
      </c>
      <c r="C127">
        <v>40.800000000000004</v>
      </c>
      <c r="D127">
        <f t="shared" si="14"/>
        <v>5.9199000000000055</v>
      </c>
      <c r="E127" t="s">
        <v>216</v>
      </c>
      <c r="F127">
        <v>34.52662875</v>
      </c>
      <c r="G127" s="86">
        <f t="shared" si="8"/>
        <v>40331</v>
      </c>
      <c r="H127">
        <f t="shared" si="9"/>
        <v>125.34580158857148</v>
      </c>
    </row>
    <row r="128" spans="1:8" x14ac:dyDescent="0.55000000000000004">
      <c r="A128" s="25">
        <v>40361</v>
      </c>
      <c r="B128">
        <v>40.326969999999996</v>
      </c>
      <c r="C128">
        <v>77.199919999999992</v>
      </c>
      <c r="D128">
        <f t="shared" si="14"/>
        <v>36.872949999999996</v>
      </c>
      <c r="E128" t="s">
        <v>217</v>
      </c>
      <c r="F128">
        <v>71.414827142857149</v>
      </c>
      <c r="G128" s="86">
        <f t="shared" si="8"/>
        <v>40361</v>
      </c>
      <c r="H128">
        <f t="shared" si="9"/>
        <v>90.80392444571433</v>
      </c>
    </row>
    <row r="129" spans="1:8" x14ac:dyDescent="0.55000000000000004">
      <c r="A129" s="25">
        <v>40392</v>
      </c>
      <c r="B129">
        <v>58.47654</v>
      </c>
      <c r="C129">
        <v>65.900109999999998</v>
      </c>
      <c r="D129">
        <f t="shared" si="14"/>
        <v>7.423569999999998</v>
      </c>
      <c r="E129" t="s">
        <v>218</v>
      </c>
      <c r="F129">
        <v>27.86400428571428</v>
      </c>
      <c r="G129" s="86">
        <f t="shared" si="8"/>
        <v>40392</v>
      </c>
      <c r="H129">
        <f t="shared" si="9"/>
        <v>70.363490160000055</v>
      </c>
    </row>
    <row r="130" spans="1:8" x14ac:dyDescent="0.55000000000000004">
      <c r="A130" s="25">
        <v>40423</v>
      </c>
      <c r="B130">
        <v>90.9696</v>
      </c>
      <c r="C130">
        <v>27.900000000000002</v>
      </c>
      <c r="D130">
        <f t="shared" si="14"/>
        <v>-63.069599999999994</v>
      </c>
      <c r="E130" t="s">
        <v>219</v>
      </c>
      <c r="F130">
        <v>-26.162430000000001</v>
      </c>
      <c r="G130" s="86">
        <f t="shared" si="8"/>
        <v>40423</v>
      </c>
      <c r="H130">
        <f t="shared" si="9"/>
        <v>33.456320160000061</v>
      </c>
    </row>
    <row r="131" spans="1:8" x14ac:dyDescent="0.55000000000000004">
      <c r="A131" s="25">
        <v>40453</v>
      </c>
      <c r="B131">
        <v>53.918610000000001</v>
      </c>
      <c r="C131">
        <v>5.9000130000000004</v>
      </c>
      <c r="D131">
        <f t="shared" si="14"/>
        <v>-48.018597</v>
      </c>
      <c r="E131" t="s">
        <v>220</v>
      </c>
      <c r="F131">
        <v>-57.00909</v>
      </c>
      <c r="G131" s="86">
        <f t="shared" si="8"/>
        <v>40453</v>
      </c>
      <c r="H131">
        <f t="shared" si="9"/>
        <v>42.446813160000062</v>
      </c>
    </row>
    <row r="132" spans="1:8" x14ac:dyDescent="0.55000000000000004">
      <c r="A132" s="25">
        <v>40484</v>
      </c>
      <c r="B132">
        <v>21.035339999999998</v>
      </c>
      <c r="C132">
        <v>8.3000100000000003</v>
      </c>
      <c r="D132">
        <f t="shared" si="14"/>
        <v>-12.735329999999998</v>
      </c>
      <c r="E132" t="s">
        <v>221</v>
      </c>
      <c r="F132">
        <v>-34.912025714285718</v>
      </c>
      <c r="G132" s="86">
        <f t="shared" ref="G132:G171" si="15">A132</f>
        <v>40484</v>
      </c>
      <c r="H132">
        <f t="shared" ref="H132:H171" si="16">D132-F132+H131</f>
        <v>64.62350887428579</v>
      </c>
    </row>
    <row r="133" spans="1:8" x14ac:dyDescent="0.55000000000000004">
      <c r="A133" s="25">
        <v>40514</v>
      </c>
      <c r="B133">
        <v>14.663124</v>
      </c>
      <c r="C133">
        <v>32.08717</v>
      </c>
      <c r="D133">
        <f t="shared" si="14"/>
        <v>17.424046000000001</v>
      </c>
      <c r="E133" t="s">
        <v>222</v>
      </c>
      <c r="F133">
        <v>-17.946062857142852</v>
      </c>
      <c r="G133" s="86">
        <f t="shared" si="15"/>
        <v>40514</v>
      </c>
      <c r="H133">
        <f t="shared" si="16"/>
        <v>99.993617731428643</v>
      </c>
    </row>
    <row r="134" spans="1:8" x14ac:dyDescent="0.55000000000000004">
      <c r="A134" s="25">
        <v>40545</v>
      </c>
      <c r="B134">
        <v>12.328886000000001</v>
      </c>
      <c r="C134">
        <v>6.499987</v>
      </c>
      <c r="D134">
        <f>C134-B134</f>
        <v>-5.8288990000000007</v>
      </c>
      <c r="E134" t="s">
        <v>211</v>
      </c>
      <c r="F134">
        <v>-16.846305000000001</v>
      </c>
      <c r="G134" s="86">
        <f t="shared" si="15"/>
        <v>40545</v>
      </c>
      <c r="H134">
        <f t="shared" si="16"/>
        <v>111.01102373142865</v>
      </c>
    </row>
    <row r="135" spans="1:8" x14ac:dyDescent="0.55000000000000004">
      <c r="A135" s="25">
        <v>40575</v>
      </c>
      <c r="B135">
        <v>11.905599999999998</v>
      </c>
      <c r="C135">
        <v>9.7999999999999989</v>
      </c>
      <c r="D135">
        <f t="shared" ref="D135:D145" si="17">C135-B135</f>
        <v>-2.105599999999999</v>
      </c>
      <c r="E135" t="s">
        <v>212</v>
      </c>
      <c r="F135">
        <v>-9.877597500000002</v>
      </c>
      <c r="G135" s="86">
        <f t="shared" si="15"/>
        <v>40575</v>
      </c>
      <c r="H135">
        <f t="shared" si="16"/>
        <v>118.78302123142865</v>
      </c>
    </row>
    <row r="136" spans="1:8" x14ac:dyDescent="0.55000000000000004">
      <c r="A136" s="25">
        <v>40604</v>
      </c>
      <c r="B136">
        <v>14.634294000000001</v>
      </c>
      <c r="C136">
        <v>6.0999939999999997</v>
      </c>
      <c r="D136">
        <f t="shared" si="17"/>
        <v>-8.5343000000000018</v>
      </c>
      <c r="E136" t="s">
        <v>213</v>
      </c>
      <c r="F136">
        <v>-3.8404837500000024</v>
      </c>
      <c r="G136" s="86">
        <f t="shared" si="15"/>
        <v>40604</v>
      </c>
      <c r="H136">
        <f t="shared" si="16"/>
        <v>114.08920498142865</v>
      </c>
    </row>
    <row r="137" spans="1:8" x14ac:dyDescent="0.55000000000000004">
      <c r="A137" s="25">
        <v>40635</v>
      </c>
      <c r="B137">
        <v>12.739380000000001</v>
      </c>
      <c r="C137">
        <v>17.7</v>
      </c>
      <c r="D137">
        <f t="shared" si="17"/>
        <v>4.9606199999999987</v>
      </c>
      <c r="E137" t="s">
        <v>214</v>
      </c>
      <c r="F137">
        <v>0.99378624999999587</v>
      </c>
      <c r="G137" s="86">
        <f t="shared" si="15"/>
        <v>40635</v>
      </c>
      <c r="H137">
        <f t="shared" si="16"/>
        <v>118.05603873142866</v>
      </c>
    </row>
    <row r="138" spans="1:8" x14ac:dyDescent="0.55000000000000004">
      <c r="A138" s="25">
        <v>40665</v>
      </c>
      <c r="B138">
        <v>24.748013</v>
      </c>
      <c r="C138">
        <v>63.799860000000002</v>
      </c>
      <c r="D138">
        <f t="shared" si="17"/>
        <v>39.051847000000002</v>
      </c>
      <c r="E138" t="s">
        <v>215</v>
      </c>
      <c r="F138">
        <v>45.34754375</v>
      </c>
      <c r="G138" s="86">
        <f t="shared" si="15"/>
        <v>40665</v>
      </c>
      <c r="H138">
        <f t="shared" si="16"/>
        <v>111.76034198142867</v>
      </c>
    </row>
    <row r="139" spans="1:8" x14ac:dyDescent="0.55000000000000004">
      <c r="A139" s="25">
        <v>40696</v>
      </c>
      <c r="B139">
        <v>30.925799999999999</v>
      </c>
      <c r="C139">
        <v>85.400099999999995</v>
      </c>
      <c r="D139">
        <f t="shared" si="17"/>
        <v>54.474299999999999</v>
      </c>
      <c r="E139" t="s">
        <v>216</v>
      </c>
      <c r="F139">
        <v>34.52662875</v>
      </c>
      <c r="G139" s="86">
        <f t="shared" si="15"/>
        <v>40696</v>
      </c>
      <c r="H139">
        <f t="shared" si="16"/>
        <v>131.70801323142865</v>
      </c>
    </row>
    <row r="140" spans="1:8" x14ac:dyDescent="0.55000000000000004">
      <c r="A140" s="25">
        <v>40726</v>
      </c>
      <c r="B140">
        <v>35.902960000000007</v>
      </c>
      <c r="C140">
        <v>122.79998999999999</v>
      </c>
      <c r="D140">
        <f t="shared" si="17"/>
        <v>86.897029999999987</v>
      </c>
      <c r="E140" t="s">
        <v>217</v>
      </c>
      <c r="F140">
        <v>71.414827142857149</v>
      </c>
      <c r="G140" s="86">
        <f t="shared" si="15"/>
        <v>40726</v>
      </c>
      <c r="H140">
        <f t="shared" si="16"/>
        <v>147.1902160885715</v>
      </c>
    </row>
    <row r="141" spans="1:8" x14ac:dyDescent="0.55000000000000004">
      <c r="A141" s="25">
        <v>40757</v>
      </c>
      <c r="B141">
        <v>67.567599999999985</v>
      </c>
      <c r="C141">
        <v>90.99987999999999</v>
      </c>
      <c r="D141">
        <f t="shared" si="17"/>
        <v>23.432280000000006</v>
      </c>
      <c r="E141" t="s">
        <v>218</v>
      </c>
      <c r="F141">
        <v>27.86400428571428</v>
      </c>
      <c r="G141" s="86">
        <f t="shared" si="15"/>
        <v>40757</v>
      </c>
      <c r="H141">
        <f t="shared" si="16"/>
        <v>142.75849180285724</v>
      </c>
    </row>
    <row r="142" spans="1:8" x14ac:dyDescent="0.55000000000000004">
      <c r="A142" s="25">
        <v>40788</v>
      </c>
      <c r="B142">
        <v>75.018000000000001</v>
      </c>
      <c r="C142">
        <v>56.7</v>
      </c>
      <c r="D142">
        <f t="shared" si="17"/>
        <v>-18.317999999999998</v>
      </c>
      <c r="E142" t="s">
        <v>219</v>
      </c>
      <c r="F142">
        <v>-26.162430000000001</v>
      </c>
      <c r="G142" s="86">
        <f t="shared" si="15"/>
        <v>40788</v>
      </c>
      <c r="H142">
        <f t="shared" si="16"/>
        <v>150.60292180285722</v>
      </c>
    </row>
    <row r="143" spans="1:8" x14ac:dyDescent="0.55000000000000004">
      <c r="A143" s="25">
        <v>40818</v>
      </c>
      <c r="B143">
        <v>88.582499999999996</v>
      </c>
      <c r="C143">
        <v>47.899960000000007</v>
      </c>
      <c r="D143">
        <f t="shared" si="17"/>
        <v>-40.682539999999989</v>
      </c>
      <c r="E143" t="s">
        <v>220</v>
      </c>
      <c r="F143">
        <v>-57.00909</v>
      </c>
      <c r="G143" s="86">
        <f t="shared" si="15"/>
        <v>40818</v>
      </c>
      <c r="H143">
        <f t="shared" si="16"/>
        <v>166.92947180285722</v>
      </c>
    </row>
    <row r="144" spans="1:8" x14ac:dyDescent="0.55000000000000004">
      <c r="A144" s="25">
        <v>40849</v>
      </c>
      <c r="B144">
        <v>76.041899999999998</v>
      </c>
      <c r="C144">
        <v>24</v>
      </c>
      <c r="D144">
        <f t="shared" si="17"/>
        <v>-52.041899999999998</v>
      </c>
      <c r="E144" t="s">
        <v>221</v>
      </c>
      <c r="F144">
        <v>-34.912025714285718</v>
      </c>
      <c r="G144" s="86">
        <f t="shared" si="15"/>
        <v>40849</v>
      </c>
      <c r="H144">
        <f t="shared" si="16"/>
        <v>149.79959751714296</v>
      </c>
    </row>
    <row r="145" spans="1:8" x14ac:dyDescent="0.55000000000000004">
      <c r="A145" s="25">
        <v>40879</v>
      </c>
      <c r="B145">
        <v>55.875329999999998</v>
      </c>
      <c r="C145">
        <v>38.000109999999999</v>
      </c>
      <c r="D145">
        <f t="shared" si="17"/>
        <v>-17.875219999999999</v>
      </c>
      <c r="E145" t="s">
        <v>222</v>
      </c>
      <c r="F145">
        <v>-17.946062857142852</v>
      </c>
      <c r="G145" s="86">
        <f t="shared" si="15"/>
        <v>40879</v>
      </c>
      <c r="H145">
        <f t="shared" si="16"/>
        <v>149.87044037428581</v>
      </c>
    </row>
    <row r="146" spans="1:8" x14ac:dyDescent="0.55000000000000004">
      <c r="A146" s="25">
        <v>40910</v>
      </c>
      <c r="B146">
        <v>32.392519999999998</v>
      </c>
      <c r="C146">
        <v>14.299990000000001</v>
      </c>
      <c r="D146">
        <f>C146-B146</f>
        <v>-18.092529999999996</v>
      </c>
      <c r="E146" t="s">
        <v>211</v>
      </c>
      <c r="F146">
        <v>-16.846305000000001</v>
      </c>
      <c r="G146" s="86">
        <f t="shared" si="15"/>
        <v>40910</v>
      </c>
      <c r="H146">
        <f t="shared" si="16"/>
        <v>148.62421537428582</v>
      </c>
    </row>
    <row r="147" spans="1:8" x14ac:dyDescent="0.55000000000000004">
      <c r="A147" s="25">
        <v>40940</v>
      </c>
      <c r="B147">
        <v>55.017060000000001</v>
      </c>
      <c r="C147">
        <v>56.500120000000003</v>
      </c>
      <c r="D147">
        <f t="shared" ref="D147:D157" si="18">C147-B147</f>
        <v>1.4830600000000018</v>
      </c>
      <c r="E147" t="s">
        <v>212</v>
      </c>
      <c r="F147">
        <v>-9.877597500000002</v>
      </c>
      <c r="G147" s="86">
        <f t="shared" si="15"/>
        <v>40940</v>
      </c>
      <c r="H147">
        <f t="shared" si="16"/>
        <v>159.98487287428583</v>
      </c>
    </row>
    <row r="148" spans="1:8" x14ac:dyDescent="0.55000000000000004">
      <c r="A148" s="25">
        <v>40970</v>
      </c>
      <c r="B148">
        <v>25.626863</v>
      </c>
      <c r="C148">
        <v>0.10000011</v>
      </c>
      <c r="D148">
        <f t="shared" si="18"/>
        <v>-25.52686289</v>
      </c>
      <c r="E148" t="s">
        <v>213</v>
      </c>
      <c r="F148">
        <v>-3.8404837500000024</v>
      </c>
      <c r="G148" s="86">
        <f t="shared" si="15"/>
        <v>40970</v>
      </c>
      <c r="H148">
        <f t="shared" si="16"/>
        <v>138.29849373428584</v>
      </c>
    </row>
    <row r="149" spans="1:8" x14ac:dyDescent="0.55000000000000004">
      <c r="A149" s="25">
        <v>41001</v>
      </c>
      <c r="B149">
        <v>16.862130000000001</v>
      </c>
      <c r="C149">
        <v>27.200009999999999</v>
      </c>
      <c r="D149">
        <f t="shared" si="18"/>
        <v>10.337879999999998</v>
      </c>
      <c r="E149" t="s">
        <v>214</v>
      </c>
      <c r="F149">
        <v>0.99378624999999587</v>
      </c>
      <c r="G149" s="86">
        <f t="shared" si="15"/>
        <v>41001</v>
      </c>
      <c r="H149">
        <f t="shared" si="16"/>
        <v>147.64258748428585</v>
      </c>
    </row>
    <row r="150" spans="1:8" x14ac:dyDescent="0.55000000000000004">
      <c r="A150" s="25">
        <v>41031</v>
      </c>
      <c r="B150">
        <v>36.056719999999999</v>
      </c>
      <c r="C150">
        <v>21.599994000000002</v>
      </c>
      <c r="D150">
        <f t="shared" si="18"/>
        <v>-14.456725999999996</v>
      </c>
      <c r="E150" t="s">
        <v>215</v>
      </c>
      <c r="F150">
        <v>45.34754375</v>
      </c>
      <c r="G150" s="86">
        <f t="shared" si="15"/>
        <v>41031</v>
      </c>
      <c r="H150">
        <f t="shared" si="16"/>
        <v>87.838317734285852</v>
      </c>
    </row>
    <row r="151" spans="1:8" x14ac:dyDescent="0.55000000000000004">
      <c r="A151" s="25">
        <v>41062</v>
      </c>
      <c r="B151">
        <v>28.817070000000001</v>
      </c>
      <c r="C151">
        <v>119.1999</v>
      </c>
      <c r="D151">
        <f t="shared" si="18"/>
        <v>90.382829999999998</v>
      </c>
      <c r="E151" t="s">
        <v>216</v>
      </c>
      <c r="F151">
        <v>34.52662875</v>
      </c>
      <c r="G151" s="86">
        <f t="shared" si="15"/>
        <v>41062</v>
      </c>
      <c r="H151">
        <f t="shared" si="16"/>
        <v>143.69451898428585</v>
      </c>
    </row>
    <row r="152" spans="1:8" x14ac:dyDescent="0.55000000000000004">
      <c r="A152" s="25">
        <v>41092</v>
      </c>
      <c r="B152">
        <v>46.866420000000005</v>
      </c>
      <c r="C152">
        <v>26.799996</v>
      </c>
      <c r="D152">
        <f t="shared" si="18"/>
        <v>-20.066424000000005</v>
      </c>
      <c r="E152" t="s">
        <v>217</v>
      </c>
      <c r="F152">
        <v>71.414827142857149</v>
      </c>
      <c r="G152" s="86">
        <f t="shared" si="15"/>
        <v>41092</v>
      </c>
      <c r="H152">
        <f t="shared" si="16"/>
        <v>52.213267841428689</v>
      </c>
    </row>
    <row r="153" spans="1:8" x14ac:dyDescent="0.55000000000000004">
      <c r="A153" s="25">
        <v>41123</v>
      </c>
      <c r="B153">
        <v>61.712629999999997</v>
      </c>
      <c r="C153">
        <v>80.900080000000003</v>
      </c>
      <c r="D153">
        <f t="shared" si="18"/>
        <v>19.187450000000005</v>
      </c>
      <c r="E153" t="s">
        <v>218</v>
      </c>
      <c r="F153">
        <v>27.86400428571428</v>
      </c>
      <c r="G153" s="86">
        <f t="shared" si="15"/>
        <v>41123</v>
      </c>
      <c r="H153">
        <f t="shared" si="16"/>
        <v>43.536713555714414</v>
      </c>
    </row>
    <row r="154" spans="1:8" x14ac:dyDescent="0.55000000000000004">
      <c r="A154" s="25">
        <v>41154</v>
      </c>
      <c r="B154">
        <v>85.477800000000002</v>
      </c>
      <c r="C154">
        <v>66.6999</v>
      </c>
      <c r="D154">
        <f t="shared" si="18"/>
        <v>-18.777900000000002</v>
      </c>
      <c r="E154" t="s">
        <v>219</v>
      </c>
      <c r="F154">
        <v>-26.162430000000001</v>
      </c>
      <c r="G154" s="86">
        <f t="shared" si="15"/>
        <v>41154</v>
      </c>
      <c r="H154">
        <f t="shared" si="16"/>
        <v>50.921243555714412</v>
      </c>
    </row>
    <row r="155" spans="1:8" x14ac:dyDescent="0.55000000000000004">
      <c r="A155" s="25">
        <v>41184</v>
      </c>
      <c r="B155">
        <v>70.754710000000003</v>
      </c>
      <c r="C155">
        <v>8.09999</v>
      </c>
      <c r="D155">
        <f t="shared" si="18"/>
        <v>-62.654720000000005</v>
      </c>
      <c r="E155" t="s">
        <v>220</v>
      </c>
      <c r="F155">
        <v>-57.00909</v>
      </c>
      <c r="G155" s="86">
        <f t="shared" si="15"/>
        <v>41184</v>
      </c>
      <c r="H155">
        <f t="shared" si="16"/>
        <v>45.275613555714408</v>
      </c>
    </row>
    <row r="156" spans="1:8" x14ac:dyDescent="0.55000000000000004">
      <c r="A156" s="25">
        <v>41215</v>
      </c>
      <c r="B156">
        <v>44.212799999999994</v>
      </c>
      <c r="C156">
        <v>54.6</v>
      </c>
      <c r="D156">
        <f t="shared" si="18"/>
        <v>10.387200000000007</v>
      </c>
      <c r="E156" t="s">
        <v>221</v>
      </c>
      <c r="F156">
        <v>-34.912025714285718</v>
      </c>
      <c r="G156" s="86">
        <f t="shared" si="15"/>
        <v>41215</v>
      </c>
      <c r="H156">
        <f t="shared" si="16"/>
        <v>90.574839270000126</v>
      </c>
    </row>
    <row r="157" spans="1:8" x14ac:dyDescent="0.55000000000000004">
      <c r="A157" s="25">
        <v>41245</v>
      </c>
      <c r="B157">
        <v>45.414999999999999</v>
      </c>
      <c r="C157">
        <v>42.265090000000001</v>
      </c>
      <c r="D157">
        <f t="shared" si="18"/>
        <v>-3.1499099999999984</v>
      </c>
      <c r="E157" t="s">
        <v>222</v>
      </c>
      <c r="F157">
        <v>-17.946062857142852</v>
      </c>
      <c r="G157" s="86">
        <f t="shared" si="15"/>
        <v>41245</v>
      </c>
      <c r="H157">
        <f t="shared" si="16"/>
        <v>105.37099212714298</v>
      </c>
    </row>
    <row r="158" spans="1:8" x14ac:dyDescent="0.55000000000000004">
      <c r="A158" s="25">
        <v>41276</v>
      </c>
      <c r="B158">
        <v>36.632390000000001</v>
      </c>
      <c r="C158">
        <v>26.500009000000002</v>
      </c>
      <c r="D158">
        <f>C158-B158</f>
        <v>-10.132380999999999</v>
      </c>
      <c r="E158" t="s">
        <v>211</v>
      </c>
      <c r="F158">
        <v>-16.846305000000001</v>
      </c>
      <c r="G158" s="86">
        <f t="shared" si="15"/>
        <v>41276</v>
      </c>
      <c r="H158">
        <f t="shared" si="16"/>
        <v>112.08491612714299</v>
      </c>
    </row>
    <row r="159" spans="1:8" x14ac:dyDescent="0.55000000000000004">
      <c r="A159" s="25">
        <v>41306</v>
      </c>
      <c r="B159">
        <v>16.365803999999997</v>
      </c>
      <c r="C159">
        <v>1.4999992</v>
      </c>
      <c r="D159">
        <f t="shared" ref="D159:D169" si="19">C159-B159</f>
        <v>-14.865804799999998</v>
      </c>
      <c r="E159" t="s">
        <v>212</v>
      </c>
      <c r="F159">
        <v>-9.877597500000002</v>
      </c>
      <c r="G159" s="86">
        <f t="shared" si="15"/>
        <v>41306</v>
      </c>
      <c r="H159">
        <f t="shared" si="16"/>
        <v>107.09670882714299</v>
      </c>
    </row>
    <row r="160" spans="1:8" x14ac:dyDescent="0.55000000000000004">
      <c r="A160" s="25">
        <v>41335</v>
      </c>
      <c r="B160">
        <v>27.842712000000002</v>
      </c>
      <c r="C160">
        <v>57.500040000000006</v>
      </c>
      <c r="D160">
        <f t="shared" si="19"/>
        <v>29.657328000000003</v>
      </c>
      <c r="E160" t="s">
        <v>213</v>
      </c>
      <c r="F160">
        <v>-3.8404837500000024</v>
      </c>
      <c r="G160" s="86">
        <f t="shared" si="15"/>
        <v>41335</v>
      </c>
      <c r="H160">
        <f t="shared" si="16"/>
        <v>140.59452057714299</v>
      </c>
    </row>
    <row r="161" spans="1:8" x14ac:dyDescent="0.55000000000000004">
      <c r="A161" s="25">
        <v>41366</v>
      </c>
      <c r="B161">
        <v>32.078400000000002</v>
      </c>
      <c r="C161">
        <v>13.5</v>
      </c>
      <c r="D161">
        <f t="shared" si="19"/>
        <v>-18.578400000000002</v>
      </c>
      <c r="E161" t="s">
        <v>214</v>
      </c>
      <c r="F161">
        <v>0.99378624999999587</v>
      </c>
      <c r="G161" s="86">
        <f t="shared" si="15"/>
        <v>41366</v>
      </c>
      <c r="H161">
        <f t="shared" si="16"/>
        <v>121.02233432714299</v>
      </c>
    </row>
    <row r="162" spans="1:8" x14ac:dyDescent="0.55000000000000004">
      <c r="A162" s="25">
        <v>41396</v>
      </c>
      <c r="B162">
        <v>35.952559999999991</v>
      </c>
      <c r="C162">
        <v>97.400140000000007</v>
      </c>
      <c r="D162">
        <f t="shared" si="19"/>
        <v>61.447580000000016</v>
      </c>
      <c r="E162" t="s">
        <v>215</v>
      </c>
      <c r="F162">
        <v>45.34754375</v>
      </c>
      <c r="G162" s="86">
        <f t="shared" si="15"/>
        <v>41396</v>
      </c>
      <c r="H162">
        <f t="shared" si="16"/>
        <v>137.12237057714299</v>
      </c>
    </row>
    <row r="163" spans="1:8" x14ac:dyDescent="0.55000000000000004">
      <c r="A163" s="25">
        <v>41427</v>
      </c>
      <c r="B163">
        <v>37.345200000000006</v>
      </c>
      <c r="C163">
        <v>14.90001</v>
      </c>
      <c r="D163">
        <f t="shared" si="19"/>
        <v>-22.445190000000004</v>
      </c>
      <c r="E163" t="s">
        <v>216</v>
      </c>
      <c r="F163">
        <v>34.52662875</v>
      </c>
      <c r="G163" s="86">
        <f t="shared" si="15"/>
        <v>41427</v>
      </c>
      <c r="H163">
        <f t="shared" si="16"/>
        <v>80.150551827142976</v>
      </c>
    </row>
    <row r="164" spans="1:8" x14ac:dyDescent="0.55000000000000004">
      <c r="A164" s="25">
        <v>41457</v>
      </c>
      <c r="B164">
        <v>40.754770000000001</v>
      </c>
      <c r="C164">
        <v>93.800109999999989</v>
      </c>
      <c r="D164">
        <f t="shared" si="19"/>
        <v>53.045339999999989</v>
      </c>
      <c r="E164" t="s">
        <v>217</v>
      </c>
      <c r="F164">
        <v>71.414827142857149</v>
      </c>
      <c r="G164" s="86">
        <f t="shared" si="15"/>
        <v>41457</v>
      </c>
      <c r="H164">
        <f t="shared" si="16"/>
        <v>61.781064684285816</v>
      </c>
    </row>
    <row r="165" spans="1:8" x14ac:dyDescent="0.55000000000000004">
      <c r="A165" s="25">
        <v>41488</v>
      </c>
      <c r="B165">
        <v>57.567929999999997</v>
      </c>
      <c r="C165">
        <v>135.39993999999999</v>
      </c>
      <c r="D165">
        <f t="shared" si="19"/>
        <v>77.832009999999997</v>
      </c>
      <c r="E165" t="s">
        <v>218</v>
      </c>
      <c r="F165">
        <v>27.86400428571428</v>
      </c>
      <c r="G165" s="86">
        <f t="shared" si="15"/>
        <v>41488</v>
      </c>
      <c r="H165">
        <f t="shared" si="16"/>
        <v>111.74907039857153</v>
      </c>
    </row>
    <row r="166" spans="1:8" x14ac:dyDescent="0.55000000000000004">
      <c r="A166" s="25">
        <v>41519</v>
      </c>
      <c r="B166">
        <v>74.5488</v>
      </c>
      <c r="C166">
        <v>95.000100000000003</v>
      </c>
      <c r="D166">
        <f t="shared" si="19"/>
        <v>20.451300000000003</v>
      </c>
      <c r="E166" t="s">
        <v>219</v>
      </c>
      <c r="F166">
        <v>-26.162430000000001</v>
      </c>
      <c r="G166" s="86">
        <f t="shared" si="15"/>
        <v>41519</v>
      </c>
      <c r="H166">
        <f t="shared" si="16"/>
        <v>158.36280039857155</v>
      </c>
    </row>
    <row r="167" spans="1:8" x14ac:dyDescent="0.55000000000000004">
      <c r="A167" s="25">
        <v>41549</v>
      </c>
      <c r="B167">
        <v>108.17140000000001</v>
      </c>
      <c r="C167">
        <v>24.499981999999999</v>
      </c>
      <c r="D167">
        <f t="shared" si="19"/>
        <v>-83.671418000000003</v>
      </c>
      <c r="E167" t="s">
        <v>220</v>
      </c>
      <c r="F167">
        <v>-57.00909</v>
      </c>
      <c r="G167" s="86">
        <f t="shared" si="15"/>
        <v>41549</v>
      </c>
      <c r="H167">
        <f t="shared" si="16"/>
        <v>131.70047239857155</v>
      </c>
    </row>
    <row r="168" spans="1:8" x14ac:dyDescent="0.55000000000000004">
      <c r="A168" s="25">
        <v>41580</v>
      </c>
      <c r="B168">
        <v>54.020099999999999</v>
      </c>
      <c r="C168">
        <v>3</v>
      </c>
      <c r="D168">
        <f t="shared" si="19"/>
        <v>-51.020099999999999</v>
      </c>
      <c r="E168" t="s">
        <v>221</v>
      </c>
      <c r="F168">
        <v>-34.912025714285718</v>
      </c>
      <c r="G168" s="86">
        <f t="shared" si="15"/>
        <v>41580</v>
      </c>
      <c r="H168">
        <f t="shared" si="16"/>
        <v>115.59239811285727</v>
      </c>
    </row>
    <row r="169" spans="1:8" x14ac:dyDescent="0.55000000000000004">
      <c r="A169" s="25">
        <v>41610</v>
      </c>
      <c r="B169">
        <v>24.101383999999999</v>
      </c>
      <c r="C169">
        <v>47.909879999999994</v>
      </c>
      <c r="D169">
        <f t="shared" si="19"/>
        <v>23.808495999999995</v>
      </c>
      <c r="E169" t="s">
        <v>222</v>
      </c>
      <c r="F169">
        <v>-17.946062857142852</v>
      </c>
      <c r="G169" s="86">
        <f t="shared" si="15"/>
        <v>41610</v>
      </c>
      <c r="H169">
        <f t="shared" si="16"/>
        <v>157.34695697000012</v>
      </c>
    </row>
    <row r="170" spans="1:8" x14ac:dyDescent="0.55000000000000004">
      <c r="A170" s="25">
        <v>41641</v>
      </c>
      <c r="B170">
        <v>12.515412999999999</v>
      </c>
      <c r="C170">
        <v>5.7000009999999994</v>
      </c>
      <c r="D170">
        <f>C170-B170</f>
        <v>-6.8154119999999994</v>
      </c>
      <c r="E170" t="s">
        <v>211</v>
      </c>
      <c r="F170">
        <v>-16.846305000000001</v>
      </c>
      <c r="G170" s="86">
        <f t="shared" si="15"/>
        <v>41641</v>
      </c>
      <c r="H170">
        <f t="shared" si="16"/>
        <v>167.37784997000011</v>
      </c>
    </row>
    <row r="171" spans="1:8" x14ac:dyDescent="0.55000000000000004">
      <c r="A171" s="25">
        <v>41671</v>
      </c>
      <c r="B171">
        <v>11.929372000000001</v>
      </c>
      <c r="C171">
        <v>0.7</v>
      </c>
      <c r="D171">
        <f t="shared" ref="D171" si="20">C171-B171</f>
        <v>-11.229372000000001</v>
      </c>
      <c r="E171" t="s">
        <v>212</v>
      </c>
      <c r="F171">
        <v>-9.877597500000002</v>
      </c>
      <c r="G171" s="86">
        <f t="shared" si="15"/>
        <v>41671</v>
      </c>
      <c r="H171">
        <f t="shared" si="16"/>
        <v>166.02607547000011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DR1 Table 1A) Site1a</vt:lpstr>
      <vt:lpstr>DR Table 1B) Site 2a</vt:lpstr>
      <vt:lpstr>DR Table 2) Dripwater_isotopes</vt:lpstr>
      <vt:lpstr>Drip_calc_s1a</vt:lpstr>
      <vt:lpstr>Drip_calc_site2a</vt:lpstr>
      <vt:lpstr>DR Table 3) Soil_Depth</vt:lpstr>
      <vt:lpstr>Awap_balance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unsw</dc:creator>
  <cp:lastModifiedBy>unsw</cp:lastModifiedBy>
  <dcterms:created xsi:type="dcterms:W3CDTF">2015-04-16T01:01:50Z</dcterms:created>
  <dcterms:modified xsi:type="dcterms:W3CDTF">2015-12-28T11:37:03Z</dcterms:modified>
</cp:coreProperties>
</file>